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gif" ContentType="image/gif"/>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90" yWindow="1215" windowWidth="11280" windowHeight="4695"/>
  </bookViews>
  <sheets>
    <sheet name="MENU" sheetId="3" r:id="rId1"/>
    <sheet name="INSTRUCTIONS" sheetId="2" r:id="rId2"/>
    <sheet name="GCALC" sheetId="1" r:id="rId3"/>
    <sheet name="RELEASE NOTES" sheetId="4" r:id="rId4"/>
    <sheet name="CREDITS" sheetId="5" r:id="rId5"/>
  </sheets>
  <calcPr calcId="124519"/>
</workbook>
</file>

<file path=xl/calcChain.xml><?xml version="1.0" encoding="utf-8"?>
<calcChain xmlns="http://schemas.openxmlformats.org/spreadsheetml/2006/main">
  <c r="AA106" i="1"/>
  <c r="R50"/>
  <c r="R49"/>
  <c r="R48"/>
  <c r="R47"/>
  <c r="R46"/>
  <c r="R45"/>
  <c r="R44"/>
  <c r="R43"/>
  <c r="R42"/>
  <c r="R41"/>
  <c r="R40"/>
  <c r="R39"/>
  <c r="R51" s="1"/>
  <c r="D13"/>
  <c r="D12"/>
  <c r="D11"/>
  <c r="D10"/>
  <c r="D9"/>
  <c r="D8"/>
  <c r="D7"/>
  <c r="D6"/>
  <c r="D5"/>
  <c r="D4"/>
  <c r="D3"/>
  <c r="D2"/>
  <c r="O103"/>
  <c r="R103"/>
  <c r="M105"/>
  <c r="M55"/>
  <c r="C94"/>
  <c r="E98"/>
  <c r="D91" s="1"/>
  <c r="E97"/>
  <c r="E96"/>
  <c r="E95"/>
  <c r="E94"/>
  <c r="V91"/>
  <c r="C87"/>
  <c r="W87" s="1"/>
  <c r="C88"/>
  <c r="W88" s="1"/>
  <c r="C89"/>
  <c r="W89" s="1"/>
  <c r="C90"/>
  <c r="W90" s="1"/>
  <c r="C86"/>
  <c r="W86" s="1"/>
  <c r="E87"/>
  <c r="E86"/>
  <c r="E90"/>
  <c r="E89"/>
  <c r="E88"/>
  <c r="E2"/>
  <c r="D71"/>
  <c r="AF79" s="1"/>
  <c r="D70"/>
  <c r="AE77" s="1"/>
  <c r="AD77" s="1"/>
  <c r="O77" s="1"/>
  <c r="D69"/>
  <c r="Q75"/>
  <c r="AE70"/>
  <c r="AD70" s="1"/>
  <c r="O70" s="1"/>
  <c r="V73"/>
  <c r="V72"/>
  <c r="V71"/>
  <c r="D94" l="1"/>
  <c r="J94" s="1"/>
  <c r="D96"/>
  <c r="J96" s="1"/>
  <c r="D95"/>
  <c r="Q95" s="1"/>
  <c r="X88"/>
  <c r="X87"/>
  <c r="X86"/>
  <c r="D14"/>
  <c r="D92"/>
  <c r="L96"/>
  <c r="J95"/>
  <c r="O96"/>
  <c r="Q96"/>
  <c r="F87"/>
  <c r="H87" s="1"/>
  <c r="O95"/>
  <c r="L95"/>
  <c r="F88"/>
  <c r="H88" s="1"/>
  <c r="F89"/>
  <c r="H89" s="1"/>
  <c r="F90"/>
  <c r="H90" s="1"/>
  <c r="L68"/>
  <c r="AF76"/>
  <c r="AF72"/>
  <c r="AF71"/>
  <c r="AF75"/>
  <c r="AF70"/>
  <c r="Q70" s="1"/>
  <c r="AF74"/>
  <c r="AF78"/>
  <c r="AF69"/>
  <c r="AF73"/>
  <c r="AF77"/>
  <c r="Q77" s="1"/>
  <c r="AF68"/>
  <c r="AE69"/>
  <c r="Q69" s="1"/>
  <c r="AE73"/>
  <c r="Q73" s="1"/>
  <c r="AE72"/>
  <c r="Q72" s="1"/>
  <c r="AE76"/>
  <c r="AE71"/>
  <c r="AE75"/>
  <c r="AE79"/>
  <c r="Q79" s="1"/>
  <c r="AE74"/>
  <c r="AE78"/>
  <c r="AE68"/>
  <c r="W70"/>
  <c r="L74"/>
  <c r="L76"/>
  <c r="L69"/>
  <c r="L71"/>
  <c r="L79"/>
  <c r="L73"/>
  <c r="L77"/>
  <c r="L75"/>
  <c r="L70"/>
  <c r="L78"/>
  <c r="L72"/>
  <c r="Y58"/>
  <c r="V45" s="1"/>
  <c r="Y63"/>
  <c r="V50" s="1"/>
  <c r="Y62"/>
  <c r="V49" s="1"/>
  <c r="Y61"/>
  <c r="V48" s="1"/>
  <c r="Y60"/>
  <c r="V47" s="1"/>
  <c r="Y59"/>
  <c r="V46" s="1"/>
  <c r="Y57"/>
  <c r="V44" s="1"/>
  <c r="Y56"/>
  <c r="V43" s="1"/>
  <c r="Y55"/>
  <c r="V42" s="1"/>
  <c r="Y54"/>
  <c r="V41" s="1"/>
  <c r="Y53"/>
  <c r="V40" s="1"/>
  <c r="Y52"/>
  <c r="V39" s="1"/>
  <c r="Q94" l="1"/>
  <c r="O94"/>
  <c r="L94"/>
  <c r="D98"/>
  <c r="O98" s="1"/>
  <c r="X90"/>
  <c r="D97"/>
  <c r="L97" s="1"/>
  <c r="X89"/>
  <c r="Q76"/>
  <c r="Q68"/>
  <c r="W91"/>
  <c r="Q98"/>
  <c r="J98"/>
  <c r="O97"/>
  <c r="J97"/>
  <c r="Q78"/>
  <c r="Q71"/>
  <c r="M88"/>
  <c r="O88" s="1"/>
  <c r="J88"/>
  <c r="M87"/>
  <c r="O87" s="1"/>
  <c r="J87"/>
  <c r="M90"/>
  <c r="L90" s="1"/>
  <c r="J90"/>
  <c r="M89"/>
  <c r="L89" s="1"/>
  <c r="J89"/>
  <c r="AD74"/>
  <c r="O74" s="1"/>
  <c r="Q74"/>
  <c r="AD79"/>
  <c r="O79" s="1"/>
  <c r="AD72"/>
  <c r="O72" s="1"/>
  <c r="AD76"/>
  <c r="O76" s="1"/>
  <c r="AD78"/>
  <c r="O78" s="1"/>
  <c r="AD71"/>
  <c r="O71" s="1"/>
  <c r="AD69"/>
  <c r="O69" s="1"/>
  <c r="AD75"/>
  <c r="AD73"/>
  <c r="O73" s="1"/>
  <c r="AD68"/>
  <c r="O68" s="1"/>
  <c r="J99" l="1"/>
  <c r="L98"/>
  <c r="L99" s="1"/>
  <c r="O99"/>
  <c r="O105" s="1"/>
  <c r="Q97"/>
  <c r="Q99" s="1"/>
  <c r="Q105" s="1"/>
  <c r="X91"/>
  <c r="O90"/>
  <c r="O89"/>
  <c r="L88"/>
  <c r="L87"/>
  <c r="Z5"/>
  <c r="Y5" s="1"/>
  <c r="Z13"/>
  <c r="Y13" s="1"/>
  <c r="Z12"/>
  <c r="Z11"/>
  <c r="Z10"/>
  <c r="Y10" s="1"/>
  <c r="Z9"/>
  <c r="Y9" s="1"/>
  <c r="Z8"/>
  <c r="Z7"/>
  <c r="Y7" s="1"/>
  <c r="Z6"/>
  <c r="Y6" s="1"/>
  <c r="Z4"/>
  <c r="Y4" s="1"/>
  <c r="Z3"/>
  <c r="Y3" s="1"/>
  <c r="Z2"/>
  <c r="Y2" s="1"/>
  <c r="Y12"/>
  <c r="Y11"/>
  <c r="Y8"/>
  <c r="E13"/>
  <c r="E12"/>
  <c r="E11"/>
  <c r="V14"/>
  <c r="B14"/>
  <c r="C13"/>
  <c r="C12"/>
  <c r="W12" s="1"/>
  <c r="X12" s="1"/>
  <c r="C4"/>
  <c r="W4" s="1"/>
  <c r="X4" s="1"/>
  <c r="C5"/>
  <c r="C6"/>
  <c r="W6" s="1"/>
  <c r="X6" s="1"/>
  <c r="C7"/>
  <c r="W7" s="1"/>
  <c r="X7" s="1"/>
  <c r="C8"/>
  <c r="W8" s="1"/>
  <c r="X8" s="1"/>
  <c r="C9"/>
  <c r="W9" s="1"/>
  <c r="X9" s="1"/>
  <c r="C10"/>
  <c r="W10" s="1"/>
  <c r="X10" s="1"/>
  <c r="C11"/>
  <c r="W11" s="1"/>
  <c r="X11" s="1"/>
  <c r="C3"/>
  <c r="W3" s="1"/>
  <c r="X3" s="1"/>
  <c r="C2"/>
  <c r="W2" s="1"/>
  <c r="X2" s="1"/>
  <c r="E10"/>
  <c r="E9"/>
  <c r="E8"/>
  <c r="E7"/>
  <c r="E6"/>
  <c r="E5"/>
  <c r="E4"/>
  <c r="E3"/>
  <c r="AC107" l="1"/>
  <c r="W107" s="1"/>
  <c r="AA107"/>
  <c r="Q111"/>
  <c r="AC108"/>
  <c r="W108" s="1"/>
  <c r="AA108"/>
  <c r="D42"/>
  <c r="Q42" s="1"/>
  <c r="W5"/>
  <c r="X5" s="1"/>
  <c r="D50"/>
  <c r="Q50" s="1"/>
  <c r="W13"/>
  <c r="X13" s="1"/>
  <c r="J34"/>
  <c r="D49"/>
  <c r="Q49" s="1"/>
  <c r="J32"/>
  <c r="D47"/>
  <c r="Q47" s="1"/>
  <c r="J30"/>
  <c r="D45"/>
  <c r="Q45" s="1"/>
  <c r="J31"/>
  <c r="D46"/>
  <c r="Q46" s="1"/>
  <c r="J28"/>
  <c r="D43"/>
  <c r="Q43" s="1"/>
  <c r="J26"/>
  <c r="D41"/>
  <c r="Q41" s="1"/>
  <c r="J33"/>
  <c r="D48"/>
  <c r="Q48" s="1"/>
  <c r="J29"/>
  <c r="D44"/>
  <c r="Q44" s="1"/>
  <c r="D39"/>
  <c r="M25"/>
  <c r="O25" s="1"/>
  <c r="R25" s="1"/>
  <c r="H3" s="1"/>
  <c r="I3" s="1"/>
  <c r="J3" s="1"/>
  <c r="D40"/>
  <c r="Q40" s="1"/>
  <c r="C14"/>
  <c r="W14" l="1"/>
  <c r="X14"/>
  <c r="O39"/>
  <c r="Q39"/>
  <c r="Q51" s="1"/>
  <c r="M34"/>
  <c r="O34" s="1"/>
  <c r="R34" s="1"/>
  <c r="H12" s="1"/>
  <c r="I12" s="1"/>
  <c r="J12" s="1"/>
  <c r="M32"/>
  <c r="O32" s="1"/>
  <c r="R32" s="1"/>
  <c r="H10" s="1"/>
  <c r="I10" s="1"/>
  <c r="J10" s="1"/>
  <c r="M30"/>
  <c r="O30" s="1"/>
  <c r="M31"/>
  <c r="O31" s="1"/>
  <c r="R31" s="1"/>
  <c r="M28"/>
  <c r="O28" s="1"/>
  <c r="R28" s="1"/>
  <c r="H6" s="1"/>
  <c r="I6" s="1"/>
  <c r="J6" s="1"/>
  <c r="M26"/>
  <c r="O26" s="1"/>
  <c r="R26" s="1"/>
  <c r="M33"/>
  <c r="O33" s="1"/>
  <c r="R33" s="1"/>
  <c r="M29"/>
  <c r="O29" s="1"/>
  <c r="R29" s="1"/>
  <c r="H7" s="1"/>
  <c r="I7" s="1"/>
  <c r="J7" s="1"/>
  <c r="J24"/>
  <c r="D51"/>
  <c r="M24"/>
  <c r="O24" s="1"/>
  <c r="R24" s="1"/>
  <c r="H2" s="1"/>
  <c r="I2" s="1"/>
  <c r="J2" s="1"/>
  <c r="J25"/>
  <c r="O48"/>
  <c r="L48"/>
  <c r="J48"/>
  <c r="O49"/>
  <c r="L49"/>
  <c r="J49"/>
  <c r="O47"/>
  <c r="L47"/>
  <c r="J47"/>
  <c r="O50"/>
  <c r="L50"/>
  <c r="J50"/>
  <c r="O45"/>
  <c r="L45"/>
  <c r="J45"/>
  <c r="O43"/>
  <c r="L43"/>
  <c r="J43"/>
  <c r="O46"/>
  <c r="J46"/>
  <c r="L46"/>
  <c r="O40"/>
  <c r="L40"/>
  <c r="J40"/>
  <c r="J42"/>
  <c r="O42"/>
  <c r="L42"/>
  <c r="L44"/>
  <c r="O44"/>
  <c r="J44"/>
  <c r="O41"/>
  <c r="L41"/>
  <c r="J41"/>
  <c r="M27"/>
  <c r="L39"/>
  <c r="J39"/>
  <c r="J35"/>
  <c r="M35"/>
  <c r="J27"/>
  <c r="F3"/>
  <c r="M3" s="1"/>
  <c r="D17"/>
  <c r="D18" s="1"/>
  <c r="O51" l="1"/>
  <c r="R55"/>
  <c r="R100" s="1"/>
  <c r="Q57"/>
  <c r="H9"/>
  <c r="I9" s="1"/>
  <c r="J9" s="1"/>
  <c r="H4"/>
  <c r="I4" s="1"/>
  <c r="J4" s="1"/>
  <c r="H11"/>
  <c r="I11" s="1"/>
  <c r="J11" s="1"/>
  <c r="N3"/>
  <c r="O3" s="1"/>
  <c r="K3"/>
  <c r="L3" s="1"/>
  <c r="O55"/>
  <c r="O100" s="1"/>
  <c r="L51"/>
  <c r="J51"/>
  <c r="J55" s="1"/>
  <c r="J100" s="1"/>
  <c r="J103" s="1"/>
  <c r="J105" s="1"/>
  <c r="F7"/>
  <c r="M7" s="1"/>
  <c r="F12"/>
  <c r="M12" s="1"/>
  <c r="F10"/>
  <c r="M10" s="1"/>
  <c r="F6"/>
  <c r="M6" s="1"/>
  <c r="O27"/>
  <c r="O35"/>
  <c r="R30"/>
  <c r="H8" s="1"/>
  <c r="S18"/>
  <c r="L20" s="1"/>
  <c r="D20"/>
  <c r="D21"/>
  <c r="J111" l="1"/>
  <c r="AA105"/>
  <c r="AC105"/>
  <c r="W105" s="1"/>
  <c r="AA58"/>
  <c r="AC58"/>
  <c r="W58" s="1"/>
  <c r="F9"/>
  <c r="M9" s="1"/>
  <c r="N9" s="1"/>
  <c r="O9" s="1"/>
  <c r="F4"/>
  <c r="M4" s="1"/>
  <c r="N4" s="1"/>
  <c r="O4" s="1"/>
  <c r="F11"/>
  <c r="M11" s="1"/>
  <c r="K11" s="1"/>
  <c r="L11" s="1"/>
  <c r="K12"/>
  <c r="L12" s="1"/>
  <c r="N12"/>
  <c r="O12" s="1"/>
  <c r="F8"/>
  <c r="M8" s="1"/>
  <c r="I8"/>
  <c r="J8" s="1"/>
  <c r="N6"/>
  <c r="O6" s="1"/>
  <c r="K6"/>
  <c r="L6" s="1"/>
  <c r="N7"/>
  <c r="O7" s="1"/>
  <c r="K7"/>
  <c r="L7" s="1"/>
  <c r="N10"/>
  <c r="O10" s="1"/>
  <c r="K10"/>
  <c r="L10" s="1"/>
  <c r="L57"/>
  <c r="AC56" s="1"/>
  <c r="W56" s="1"/>
  <c r="L55"/>
  <c r="L100" s="1"/>
  <c r="O57"/>
  <c r="AC57" s="1"/>
  <c r="W57" s="1"/>
  <c r="Q63"/>
  <c r="J57"/>
  <c r="AC55" s="1"/>
  <c r="W55" s="1"/>
  <c r="L103"/>
  <c r="L105" s="1"/>
  <c r="R27"/>
  <c r="H5" s="1"/>
  <c r="R35"/>
  <c r="H13" s="1"/>
  <c r="F2"/>
  <c r="M2" s="1"/>
  <c r="L21"/>
  <c r="L111" l="1"/>
  <c r="AC106"/>
  <c r="W106" s="1"/>
  <c r="L63"/>
  <c r="AA56"/>
  <c r="O63"/>
  <c r="AA57"/>
  <c r="J63"/>
  <c r="AA55"/>
  <c r="K9"/>
  <c r="L9" s="1"/>
  <c r="K4"/>
  <c r="L4" s="1"/>
  <c r="N11"/>
  <c r="O11" s="1"/>
  <c r="F5"/>
  <c r="M5" s="1"/>
  <c r="N5" s="1"/>
  <c r="I5"/>
  <c r="J5" s="1"/>
  <c r="K8"/>
  <c r="L8" s="1"/>
  <c r="N8"/>
  <c r="O8" s="1"/>
  <c r="F13"/>
  <c r="M13" s="1"/>
  <c r="I13"/>
  <c r="J13" s="1"/>
  <c r="K2"/>
  <c r="L2" s="1"/>
  <c r="N2"/>
  <c r="O2" s="1"/>
  <c r="O111"/>
  <c r="M14" l="1"/>
  <c r="K14" s="1"/>
  <c r="L14" s="1"/>
  <c r="K5"/>
  <c r="L5" s="1"/>
  <c r="O5"/>
  <c r="K13"/>
  <c r="L13" s="1"/>
  <c r="N13"/>
  <c r="O13" s="1"/>
  <c r="F86"/>
  <c r="H86" s="1"/>
  <c r="M86" s="1"/>
  <c r="N14" l="1"/>
  <c r="O14"/>
  <c r="O86"/>
  <c r="L86"/>
  <c r="J86"/>
</calcChain>
</file>

<file path=xl/sharedStrings.xml><?xml version="1.0" encoding="utf-8"?>
<sst xmlns="http://schemas.openxmlformats.org/spreadsheetml/2006/main" count="274" uniqueCount="131">
  <si>
    <t>Troop</t>
  </si>
  <si>
    <t xml:space="preserve">Hourly Upkeep </t>
  </si>
  <si>
    <t>Worker</t>
  </si>
  <si>
    <t>Warrior</t>
  </si>
  <si>
    <t>Scout</t>
  </si>
  <si>
    <t>Pikeman</t>
  </si>
  <si>
    <t>Swordman</t>
  </si>
  <si>
    <t>Archer</t>
  </si>
  <si>
    <t>Cavalry</t>
  </si>
  <si>
    <t>Cataphract</t>
  </si>
  <si>
    <t>Transporter</t>
  </si>
  <si>
    <t>Ballista</t>
  </si>
  <si>
    <t>Catapult</t>
  </si>
  <si>
    <t>Total</t>
  </si>
  <si>
    <t>Food Production</t>
  </si>
  <si>
    <t>Daily Food Consumption</t>
  </si>
  <si>
    <t>Hourly Food Consumption</t>
  </si>
  <si>
    <t>Lv10s</t>
  </si>
  <si>
    <t>Lv5s</t>
  </si>
  <si>
    <t>MS Lvl</t>
  </si>
  <si>
    <t>Hero's Atk</t>
  </si>
  <si>
    <t>Barracks #</t>
  </si>
  <si>
    <t>(Days)</t>
  </si>
  <si>
    <t>(Hours)</t>
  </si>
  <si>
    <t>⇩ Total Training Time ⇩</t>
  </si>
  <si>
    <t>Individual Training Time (S)</t>
  </si>
  <si>
    <t>10s to farm (daily)</t>
  </si>
  <si>
    <t>5s to farm (daily)</t>
  </si>
  <si>
    <t>(or)</t>
  </si>
  <si>
    <t>(and)</t>
  </si>
  <si>
    <t>Daily Food Bill</t>
  </si>
  <si>
    <t>(After farming)</t>
  </si>
  <si>
    <t>Goal</t>
  </si>
  <si>
    <t>Existing</t>
  </si>
  <si>
    <t>Needed</t>
  </si>
  <si>
    <t>B. Ram</t>
  </si>
  <si>
    <t>(Seconds)</t>
  </si>
  <si>
    <t>Population</t>
  </si>
  <si>
    <t>pop needed</t>
  </si>
  <si>
    <t>Total Training Time (S) with barracks &amp; population</t>
  </si>
  <si>
    <t>Farmed NPCs (daily)</t>
  </si>
  <si>
    <t>NPCs left to farm (daily)</t>
  </si>
  <si>
    <t>troops/queue</t>
  </si>
  <si>
    <t>Barracks Lv</t>
  </si>
  <si>
    <t>queues</t>
  </si>
  <si>
    <t>USAGE:</t>
  </si>
  <si>
    <t>Mach Lvl</t>
  </si>
  <si>
    <t>NOTE:</t>
  </si>
  <si>
    <t>Troop training time considers that your population will be fully regenerated once a queue is finished training, so that all your population will be ready for the next queue. The time for all the queues to finish is the one displayed. The population is the population used, so either input your maximum population or your idle population, depending on what you use to train troops.</t>
  </si>
  <si>
    <t>Food</t>
  </si>
  <si>
    <t>Lumber</t>
  </si>
  <si>
    <t>Stone</t>
  </si>
  <si>
    <t>Iron</t>
  </si>
  <si>
    <t>⇩ Resources Needed ⇩</t>
  </si>
  <si>
    <t>Resources needed, per troop</t>
  </si>
  <si>
    <t>φ Max Troop Production φ
φ Population Per Troop (inverse) φ
φ Base Training Times φ</t>
  </si>
  <si>
    <t>φ Existing Resources φ</t>
  </si>
  <si>
    <t>φ Resources Still Needed φ</t>
  </si>
  <si>
    <t>φ Cost To Buy Needed Resources (In Gold) φ</t>
  </si>
  <si>
    <t>φ Market Prices (In Gold) φ</t>
  </si>
  <si>
    <t>Amount</t>
  </si>
  <si>
    <t>Source of R39:R50</t>
  </si>
  <si>
    <t>v1.3- Calc now shows resources required, as well as (optional) fee to buy additional resources from market. Also shows the amount of one troop that can be made using current resources.</t>
  </si>
  <si>
    <t>You could build this many of one troop using existing resources
⇩⇩⇩⇩⇩⇩⇩⇩⇩⇩⇩⇩</t>
  </si>
  <si>
    <t>X</t>
  </si>
  <si>
    <t>Y</t>
  </si>
  <si>
    <t>Distance:</t>
  </si>
  <si>
    <t>Hero's Int</t>
  </si>
  <si>
    <t>Medicine Lvl</t>
  </si>
  <si>
    <t>IronWork.Lvl</t>
  </si>
  <si>
    <t>Mil.Trad. Lvl</t>
  </si>
  <si>
    <t>Attack</t>
  </si>
  <si>
    <t>Defense</t>
  </si>
  <si>
    <t>Life</t>
  </si>
  <si>
    <t>Defence</t>
  </si>
  <si>
    <t>Swordsman</t>
  </si>
  <si>
    <t>Transport</t>
  </si>
  <si>
    <t>Ram</t>
  </si>
  <si>
    <t>Coord. # 1</t>
  </si>
  <si>
    <t>Coord. # 2</t>
  </si>
  <si>
    <t>Hero's Pol</t>
  </si>
  <si>
    <t>Construc. Lvl</t>
  </si>
  <si>
    <t>Trap</t>
  </si>
  <si>
    <t>Abatis</t>
  </si>
  <si>
    <t>Rolling Log</t>
  </si>
  <si>
    <t>Def. Treb.</t>
  </si>
  <si>
    <t>Arch. Tower</t>
  </si>
  <si>
    <t>Fortification</t>
  </si>
  <si>
    <t>⇩ Build Time ⇩</t>
  </si>
  <si>
    <t>(individual training time)</t>
  </si>
  <si>
    <t>Total training time</t>
  </si>
  <si>
    <t>Walls' Lvl</t>
  </si>
  <si>
    <t>⇩ Res. Needed ⇩</t>
  </si>
  <si>
    <t>Resources needed, per fort.</t>
  </si>
  <si>
    <t>Fort. Spaces Left:</t>
  </si>
  <si>
    <t>fort spaces</t>
  </si>
  <si>
    <t>fortspaces allowed</t>
  </si>
  <si>
    <r>
      <rPr>
        <sz val="14"/>
        <color theme="1"/>
        <rFont val="Calibri"/>
        <family val="2"/>
        <scheme val="minor"/>
      </rPr>
      <t>⇦</t>
    </r>
    <r>
      <rPr>
        <sz val="8"/>
        <color theme="1"/>
        <rFont val="Calibri"/>
        <family val="2"/>
        <scheme val="minor"/>
      </rPr>
      <t xml:space="preserve"> To use remaining resources after troop production, enter 1 here</t>
    </r>
  </si>
  <si>
    <t>Fractal Explosion  Wallpaper</t>
  </si>
  <si>
    <t>ineedfire (ineedfire.deviantart.com)</t>
  </si>
  <si>
    <t>Statman</t>
  </si>
  <si>
    <t>Resources to troop part</t>
  </si>
  <si>
    <t>(not resources needed per troop)</t>
  </si>
  <si>
    <t>Troop stats formulas</t>
  </si>
  <si>
    <t>Training/Building time formulas</t>
  </si>
  <si>
    <t>Distance calculator</t>
  </si>
  <si>
    <t>(that works with coords such as 799,799 and 1,1)</t>
  </si>
  <si>
    <t>Me (Germain)</t>
  </si>
  <si>
    <t>All the rest*</t>
  </si>
  <si>
    <t>emcee214</t>
  </si>
  <si>
    <t>Whoever found them first</t>
  </si>
  <si>
    <t>Birtle</t>
  </si>
  <si>
    <t>* While not discovered by me, it was made from scratch without copying it from anyone's work.</t>
  </si>
  <si>
    <t>v1.5- Calc now shows troop stats, affected by techs &amp; hero's stats.</t>
  </si>
  <si>
    <t>v1.6- Wall fortifications section added.</t>
  </si>
  <si>
    <t>Fortificat.</t>
  </si>
  <si>
    <t>v1.0.2- Miscalculations were causing incorrect troop training time for troops requiring more than 1 population.</t>
  </si>
  <si>
    <t>v1.0.1- Miscalculation fixes.</t>
  </si>
  <si>
    <t>v1.0- Troop Calculation Part + Upkeep + NPC suggestions.</t>
  </si>
  <si>
    <t>v1.6.1- Fixed some stuff. Mostly cosmetic (e.g. Errors before filling in required cells)</t>
  </si>
  <si>
    <t>Fill the orange colored cells with the appropriate information.</t>
  </si>
  <si>
    <t>v1.6.2- Upkeep was only taking needed troops into consideration, and not total troops. Fixed.</t>
  </si>
  <si>
    <t>v1.6.3- Training time &amp; required resources were showing negative values if you had more existing troops than specified in goals. Fixed.</t>
  </si>
  <si>
    <t>Mayor's EXP Gain</t>
  </si>
  <si>
    <t>Best viewed on 1280x1024 screen resolution</t>
  </si>
  <si>
    <t>v1.7.1- Added Mayor's EXP Gain after training troops or building fortifications. Also fixed negative "Needed" values.</t>
  </si>
  <si>
    <t>v1.4.1- Minor fixes. Added a distance calculator.</t>
  </si>
  <si>
    <t>Production</t>
  </si>
  <si>
    <t>⇧ Wait this much for your resources to replenish
(once current resources are used)</t>
  </si>
  <si>
    <t>v1.8</t>
  </si>
  <si>
    <t>v1.8- Calc now takes into consideration resource production for troop training/fortification building</t>
  </si>
</sst>
</file>

<file path=xl/styles.xml><?xml version="1.0" encoding="utf-8"?>
<styleSheet xmlns="http://schemas.openxmlformats.org/spreadsheetml/2006/main">
  <numFmts count="4">
    <numFmt numFmtId="164" formatCode="0.000"/>
    <numFmt numFmtId="165" formatCode="0.0"/>
    <numFmt numFmtId="166" formatCode=";;;"/>
    <numFmt numFmtId="167" formatCode="hh:mm"/>
  </numFmts>
  <fonts count="23">
    <font>
      <sz val="11"/>
      <color theme="1"/>
      <name val="Calibri"/>
      <family val="2"/>
      <scheme val="minor"/>
    </font>
    <font>
      <sz val="10"/>
      <color theme="1"/>
      <name val="Calibri"/>
      <family val="2"/>
      <scheme val="minor"/>
    </font>
    <font>
      <sz val="8"/>
      <color theme="1"/>
      <name val="Calibri"/>
      <family val="2"/>
      <scheme val="minor"/>
    </font>
    <font>
      <sz val="1"/>
      <color theme="1"/>
      <name val="Calibri"/>
      <family val="2"/>
      <scheme val="minor"/>
    </font>
    <font>
      <i/>
      <sz val="9"/>
      <color theme="1"/>
      <name val="Calibri"/>
      <family val="2"/>
      <scheme val="minor"/>
    </font>
    <font>
      <i/>
      <sz val="8"/>
      <color theme="1"/>
      <name val="Calibri"/>
      <family val="2"/>
      <scheme val="minor"/>
    </font>
    <font>
      <sz val="11"/>
      <color theme="0"/>
      <name val="Calibri"/>
      <family val="2"/>
      <scheme val="minor"/>
    </font>
    <font>
      <sz val="16"/>
      <color theme="1"/>
      <name val="Calibri"/>
      <family val="2"/>
      <scheme val="minor"/>
    </font>
    <font>
      <i/>
      <sz val="8"/>
      <color theme="0"/>
      <name val="Calibri"/>
      <family val="2"/>
      <scheme val="minor"/>
    </font>
    <font>
      <b/>
      <sz val="11"/>
      <color rgb="FFC00000"/>
      <name val="Calibri"/>
      <family val="2"/>
      <scheme val="minor"/>
    </font>
    <font>
      <b/>
      <i/>
      <u/>
      <sz val="11"/>
      <color theme="1"/>
      <name val="Calibri"/>
      <family val="2"/>
      <scheme val="minor"/>
    </font>
    <font>
      <i/>
      <sz val="11"/>
      <color rgb="FFC00000"/>
      <name val="Calibri"/>
      <family val="2"/>
      <scheme val="minor"/>
    </font>
    <font>
      <sz val="14"/>
      <color theme="0"/>
      <name val="Calibri"/>
      <family val="2"/>
      <scheme val="minor"/>
    </font>
    <font>
      <sz val="11"/>
      <name val="Calibri"/>
      <family val="2"/>
      <scheme val="minor"/>
    </font>
    <font>
      <sz val="9"/>
      <color theme="1"/>
      <name val="Calibri"/>
      <family val="2"/>
      <scheme val="minor"/>
    </font>
    <font>
      <sz val="14"/>
      <color theme="1"/>
      <name val="Calibri"/>
      <family val="2"/>
      <scheme val="minor"/>
    </font>
    <font>
      <sz val="12"/>
      <color theme="1"/>
      <name val="Calibri"/>
      <family val="2"/>
      <scheme val="minor"/>
    </font>
    <font>
      <sz val="8"/>
      <color rgb="FFFF0000"/>
      <name val="Calibri"/>
      <family val="2"/>
      <scheme val="minor"/>
    </font>
    <font>
      <sz val="8"/>
      <color theme="0"/>
      <name val="Calibri"/>
      <family val="2"/>
      <scheme val="minor"/>
    </font>
    <font>
      <b/>
      <sz val="14"/>
      <color theme="0"/>
      <name val="Calibri"/>
      <family val="2"/>
      <scheme val="minor"/>
    </font>
    <font>
      <b/>
      <sz val="8"/>
      <color rgb="FFC00000"/>
      <name val="Calibri"/>
      <family val="2"/>
      <scheme val="minor"/>
    </font>
    <font>
      <b/>
      <i/>
      <sz val="14"/>
      <color rgb="FFC00000"/>
      <name val="Calibri"/>
      <family val="2"/>
      <scheme val="minor"/>
    </font>
    <font>
      <sz val="8"/>
      <name val="Calibri"/>
      <family val="2"/>
      <scheme val="minor"/>
    </font>
  </fonts>
  <fills count="26">
    <fill>
      <patternFill patternType="none"/>
    </fill>
    <fill>
      <patternFill patternType="gray125"/>
    </fill>
    <fill>
      <patternFill patternType="solid">
        <fgColor indexed="65"/>
        <bgColor theme="2"/>
      </patternFill>
    </fill>
    <fill>
      <gradientFill degree="180">
        <stop position="0">
          <color theme="9" tint="0.40000610370189521"/>
        </stop>
        <stop position="1">
          <color theme="0"/>
        </stop>
      </gradientFill>
    </fill>
    <fill>
      <gradientFill>
        <stop position="0">
          <color theme="0"/>
        </stop>
        <stop position="1">
          <color theme="0"/>
        </stop>
      </gradientFill>
    </fill>
    <fill>
      <gradientFill>
        <stop position="0">
          <color theme="0"/>
        </stop>
        <stop position="1">
          <color theme="9" tint="0.40000610370189521"/>
        </stop>
      </gradientFill>
    </fill>
    <fill>
      <gradientFill>
        <stop position="0">
          <color theme="0"/>
        </stop>
        <stop position="1">
          <color theme="3" tint="0.80001220740379042"/>
        </stop>
      </gradientFill>
    </fill>
    <fill>
      <gradientFill>
        <stop position="0">
          <color theme="0"/>
        </stop>
        <stop position="1">
          <color theme="3" tint="0.59999389629810485"/>
        </stop>
      </gradientFill>
    </fill>
    <fill>
      <patternFill patternType="solid">
        <fgColor indexed="65"/>
        <bgColor theme="0"/>
      </patternFill>
    </fill>
    <fill>
      <patternFill patternType="solid">
        <fgColor theme="0"/>
        <bgColor indexed="64"/>
      </patternFill>
    </fill>
    <fill>
      <gradientFill degree="90">
        <stop position="0">
          <color theme="0"/>
        </stop>
        <stop position="1">
          <color theme="0"/>
        </stop>
      </gradientFill>
    </fill>
    <fill>
      <gradientFill>
        <stop position="0">
          <color theme="5" tint="0.40000610370189521"/>
        </stop>
        <stop position="1">
          <color theme="5" tint="0.40000610370189521"/>
        </stop>
      </gradientFill>
    </fill>
    <fill>
      <gradientFill>
        <stop position="0">
          <color theme="0"/>
        </stop>
        <stop position="1">
          <color theme="5" tint="0.40000610370189521"/>
        </stop>
      </gradientFill>
    </fill>
    <fill>
      <gradientFill>
        <stop position="0">
          <color theme="5" tint="0.40000610370189521"/>
        </stop>
        <stop position="1">
          <color theme="0"/>
        </stop>
      </gradientFill>
    </fill>
    <fill>
      <gradientFill>
        <stop position="0">
          <color theme="0"/>
        </stop>
        <stop position="0.5">
          <color theme="0"/>
        </stop>
        <stop position="1">
          <color theme="0"/>
        </stop>
      </gradientFill>
    </fill>
    <fill>
      <patternFill patternType="solid">
        <fgColor theme="0"/>
        <bgColor auto="1"/>
      </patternFill>
    </fill>
    <fill>
      <patternFill patternType="solid">
        <fgColor theme="0"/>
        <bgColor theme="2"/>
      </patternFill>
    </fill>
    <fill>
      <patternFill patternType="gray0625">
        <fgColor rgb="FFFF0000"/>
      </patternFill>
    </fill>
    <fill>
      <patternFill patternType="gray0625">
        <fgColor rgb="FFFF0000"/>
        <bgColor theme="0"/>
      </patternFill>
    </fill>
    <fill>
      <patternFill patternType="gray0625">
        <fgColor rgb="FFFF0000"/>
        <bgColor auto="1"/>
      </patternFill>
    </fill>
    <fill>
      <gradientFill type="path" top="1" bottom="1">
        <stop position="0">
          <color theme="0"/>
        </stop>
        <stop position="1">
          <color theme="9" tint="0.80001220740379042"/>
        </stop>
      </gradientFill>
    </fill>
    <fill>
      <gradientFill type="path" left="1" right="1" top="1" bottom="1">
        <stop position="0">
          <color theme="0"/>
        </stop>
        <stop position="1">
          <color theme="9" tint="0.80001220740379042"/>
        </stop>
      </gradientFill>
    </fill>
    <fill>
      <patternFill patternType="solid">
        <fgColor theme="1"/>
        <bgColor indexed="64"/>
      </patternFill>
    </fill>
    <fill>
      <patternFill patternType="solid">
        <fgColor theme="1"/>
        <bgColor theme="2"/>
      </patternFill>
    </fill>
    <fill>
      <patternFill patternType="solid">
        <fgColor rgb="FFFFFFFF"/>
        <bgColor indexed="64"/>
      </patternFill>
    </fill>
    <fill>
      <gradientFill degree="90">
        <stop position="0">
          <color theme="5" tint="0.40000610370189521"/>
        </stop>
        <stop position="1">
          <color theme="5" tint="0.40000610370189521"/>
        </stop>
      </gradientFill>
    </fill>
  </fills>
  <borders count="82">
    <border>
      <left/>
      <right/>
      <top/>
      <bottom/>
      <diagonal/>
    </border>
    <border>
      <left style="thick">
        <color auto="1"/>
      </left>
      <right style="thick">
        <color auto="1"/>
      </right>
      <top style="thick">
        <color auto="1"/>
      </top>
      <bottom style="thick">
        <color auto="1"/>
      </bottom>
      <diagonal/>
    </border>
    <border>
      <left style="thick">
        <color auto="1"/>
      </left>
      <right/>
      <top style="thick">
        <color auto="1"/>
      </top>
      <bottom style="thin">
        <color auto="1"/>
      </bottom>
      <diagonal/>
    </border>
    <border>
      <left/>
      <right style="thick">
        <color auto="1"/>
      </right>
      <top style="thick">
        <color auto="1"/>
      </top>
      <bottom style="thin">
        <color auto="1"/>
      </bottom>
      <diagonal/>
    </border>
    <border>
      <left style="thick">
        <color auto="1"/>
      </left>
      <right/>
      <top style="thin">
        <color auto="1"/>
      </top>
      <bottom style="thin">
        <color auto="1"/>
      </bottom>
      <diagonal/>
    </border>
    <border>
      <left/>
      <right style="thick">
        <color auto="1"/>
      </right>
      <top style="thin">
        <color auto="1"/>
      </top>
      <bottom style="thin">
        <color auto="1"/>
      </bottom>
      <diagonal/>
    </border>
    <border>
      <left style="thick">
        <color auto="1"/>
      </left>
      <right/>
      <top style="thin">
        <color auto="1"/>
      </top>
      <bottom style="thick">
        <color auto="1"/>
      </bottom>
      <diagonal/>
    </border>
    <border>
      <left/>
      <right style="thick">
        <color auto="1"/>
      </right>
      <top style="thin">
        <color auto="1"/>
      </top>
      <bottom style="thick">
        <color auto="1"/>
      </bottom>
      <diagonal/>
    </border>
    <border>
      <left style="thick">
        <color auto="1"/>
      </left>
      <right/>
      <top style="thick">
        <color auto="1"/>
      </top>
      <bottom/>
      <diagonal/>
    </border>
    <border>
      <left/>
      <right style="thick">
        <color auto="1"/>
      </right>
      <top style="thick">
        <color auto="1"/>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right style="dashDot">
        <color auto="1"/>
      </right>
      <top style="thick">
        <color auto="1"/>
      </top>
      <bottom style="dashDotDot">
        <color auto="1"/>
      </bottom>
      <diagonal/>
    </border>
    <border>
      <left/>
      <right style="dashDot">
        <color auto="1"/>
      </right>
      <top style="dashDotDot">
        <color auto="1"/>
      </top>
      <bottom style="dashDotDot">
        <color auto="1"/>
      </bottom>
      <diagonal/>
    </border>
    <border>
      <left/>
      <right style="dashDot">
        <color auto="1"/>
      </right>
      <top style="dashDotDot">
        <color auto="1"/>
      </top>
      <bottom style="thick">
        <color auto="1"/>
      </bottom>
      <diagonal/>
    </border>
    <border>
      <left style="dashDot">
        <color auto="1"/>
      </left>
      <right style="thick">
        <color auto="1"/>
      </right>
      <top style="thick">
        <color auto="1"/>
      </top>
      <bottom style="dashDot">
        <color auto="1"/>
      </bottom>
      <diagonal/>
    </border>
    <border>
      <left style="dashDot">
        <color auto="1"/>
      </left>
      <right style="thick">
        <color auto="1"/>
      </right>
      <top style="dashDot">
        <color auto="1"/>
      </top>
      <bottom style="dashDot">
        <color auto="1"/>
      </bottom>
      <diagonal/>
    </border>
    <border>
      <left style="dashDot">
        <color auto="1"/>
      </left>
      <right style="thick">
        <color auto="1"/>
      </right>
      <top style="dashDot">
        <color auto="1"/>
      </top>
      <bottom style="thick">
        <color auto="1"/>
      </bottom>
      <diagonal/>
    </border>
    <border>
      <left style="thick">
        <color auto="1"/>
      </left>
      <right/>
      <top style="thick">
        <color auto="1"/>
      </top>
      <bottom style="dashDotDot">
        <color auto="1"/>
      </bottom>
      <diagonal/>
    </border>
    <border>
      <left/>
      <right style="thick">
        <color auto="1"/>
      </right>
      <top style="thick">
        <color auto="1"/>
      </top>
      <bottom style="dashDotDot">
        <color auto="1"/>
      </bottom>
      <diagonal/>
    </border>
    <border>
      <left style="thick">
        <color auto="1"/>
      </left>
      <right/>
      <top style="dashDotDot">
        <color auto="1"/>
      </top>
      <bottom style="dashDotDot">
        <color auto="1"/>
      </bottom>
      <diagonal/>
    </border>
    <border>
      <left/>
      <right style="thick">
        <color auto="1"/>
      </right>
      <top style="dashDotDot">
        <color auto="1"/>
      </top>
      <bottom style="dashDotDot">
        <color auto="1"/>
      </bottom>
      <diagonal/>
    </border>
    <border>
      <left style="thick">
        <color auto="1"/>
      </left>
      <right/>
      <top style="dashDotDot">
        <color auto="1"/>
      </top>
      <bottom style="thick">
        <color auto="1"/>
      </bottom>
      <diagonal/>
    </border>
    <border>
      <left/>
      <right style="thick">
        <color auto="1"/>
      </right>
      <top style="dashDotDot">
        <color auto="1"/>
      </top>
      <bottom style="thick">
        <color auto="1"/>
      </bottom>
      <diagonal/>
    </border>
    <border>
      <left/>
      <right style="dashDot">
        <color auto="1"/>
      </right>
      <top/>
      <bottom style="thick">
        <color auto="1"/>
      </bottom>
      <diagonal/>
    </border>
    <border>
      <left style="dashDot">
        <color auto="1"/>
      </left>
      <right style="thick">
        <color auto="1"/>
      </right>
      <top/>
      <bottom style="thick">
        <color auto="1"/>
      </bottom>
      <diagonal/>
    </border>
    <border>
      <left/>
      <right/>
      <top style="thick">
        <color auto="1"/>
      </top>
      <bottom style="dashDotDot">
        <color auto="1"/>
      </bottom>
      <diagonal/>
    </border>
    <border>
      <left/>
      <right/>
      <top style="dashDotDot">
        <color auto="1"/>
      </top>
      <bottom style="dashDotDot">
        <color auto="1"/>
      </bottom>
      <diagonal/>
    </border>
    <border>
      <left/>
      <right/>
      <top style="dashDotDot">
        <color auto="1"/>
      </top>
      <bottom style="thick">
        <color auto="1"/>
      </bottom>
      <diagonal/>
    </border>
    <border>
      <left style="dashDot">
        <color auto="1"/>
      </left>
      <right style="thick">
        <color auto="1"/>
      </right>
      <top style="thick">
        <color auto="1"/>
      </top>
      <bottom/>
      <diagonal/>
    </border>
    <border>
      <left style="dashDot">
        <color auto="1"/>
      </left>
      <right style="thick">
        <color auto="1"/>
      </right>
      <top style="dashDotDot">
        <color auto="1"/>
      </top>
      <bottom style="dashDotDot">
        <color auto="1"/>
      </bottom>
      <diagonal/>
    </border>
    <border>
      <left style="dashDot">
        <color auto="1"/>
      </left>
      <right style="thick">
        <color auto="1"/>
      </right>
      <top style="dashDotDot">
        <color auto="1"/>
      </top>
      <bottom style="thick">
        <color auto="1"/>
      </bottom>
      <diagonal/>
    </border>
    <border>
      <left style="dashDot">
        <color auto="1"/>
      </left>
      <right style="thick">
        <color auto="1"/>
      </right>
      <top style="thick">
        <color auto="1"/>
      </top>
      <bottom style="dashDotDot">
        <color auto="1"/>
      </bottom>
      <diagonal/>
    </border>
    <border>
      <left style="thick">
        <color auto="1"/>
      </left>
      <right/>
      <top/>
      <bottom style="thin">
        <color auto="1"/>
      </bottom>
      <diagonal/>
    </border>
    <border>
      <left/>
      <right style="thick">
        <color auto="1"/>
      </right>
      <top/>
      <bottom style="thin">
        <color auto="1"/>
      </bottom>
      <diagonal/>
    </border>
    <border>
      <left style="dashDot">
        <color auto="1"/>
      </left>
      <right style="dashDot">
        <color auto="1"/>
      </right>
      <top style="thick">
        <color auto="1"/>
      </top>
      <bottom style="dashDot">
        <color auto="1"/>
      </bottom>
      <diagonal/>
    </border>
    <border>
      <left style="dashDot">
        <color auto="1"/>
      </left>
      <right style="dashDot">
        <color auto="1"/>
      </right>
      <top style="dashDot">
        <color auto="1"/>
      </top>
      <bottom style="dashDot">
        <color auto="1"/>
      </bottom>
      <diagonal/>
    </border>
    <border>
      <left style="dashDot">
        <color auto="1"/>
      </left>
      <right style="dashDot">
        <color auto="1"/>
      </right>
      <top style="dashDot">
        <color auto="1"/>
      </top>
      <bottom style="thick">
        <color auto="1"/>
      </bottom>
      <diagonal/>
    </border>
    <border>
      <left style="thick">
        <color auto="1"/>
      </left>
      <right/>
      <top style="thin">
        <color auto="1"/>
      </top>
      <bottom/>
      <diagonal/>
    </border>
    <border>
      <left/>
      <right style="thick">
        <color auto="1"/>
      </right>
      <top style="thin">
        <color auto="1"/>
      </top>
      <bottom/>
      <diagonal/>
    </border>
    <border>
      <left/>
      <right style="dashDot">
        <color auto="1"/>
      </right>
      <top style="thick">
        <color auto="1"/>
      </top>
      <bottom style="thick">
        <color auto="1"/>
      </bottom>
      <diagonal/>
    </border>
    <border>
      <left style="thick">
        <color auto="1"/>
      </left>
      <right style="dashDot">
        <color auto="1"/>
      </right>
      <top style="thick">
        <color auto="1"/>
      </top>
      <bottom style="thick">
        <color auto="1"/>
      </bottom>
      <diagonal/>
    </border>
    <border>
      <left/>
      <right style="dashDot">
        <color auto="1"/>
      </right>
      <top style="thick">
        <color auto="1"/>
      </top>
      <bottom style="dashDot">
        <color auto="1"/>
      </bottom>
      <diagonal/>
    </border>
    <border>
      <left/>
      <right style="dashDot">
        <color auto="1"/>
      </right>
      <top style="dashDot">
        <color auto="1"/>
      </top>
      <bottom style="dashDot">
        <color auto="1"/>
      </bottom>
      <diagonal/>
    </border>
    <border>
      <left/>
      <right style="dashDot">
        <color auto="1"/>
      </right>
      <top style="dashDot">
        <color auto="1"/>
      </top>
      <bottom style="thick">
        <color auto="1"/>
      </bottom>
      <diagonal/>
    </border>
    <border>
      <left/>
      <right/>
      <top style="thick">
        <color auto="1"/>
      </top>
      <bottom/>
      <diagonal/>
    </border>
    <border>
      <left style="dashDot">
        <color auto="1"/>
      </left>
      <right style="dashDot">
        <color auto="1"/>
      </right>
      <top style="thick">
        <color auto="1"/>
      </top>
      <bottom style="thick">
        <color auto="1"/>
      </bottom>
      <diagonal/>
    </border>
    <border>
      <left/>
      <right style="thick">
        <color auto="1"/>
      </right>
      <top/>
      <bottom style="dashDotDot">
        <color auto="1"/>
      </bottom>
      <diagonal/>
    </border>
    <border>
      <left style="dashDot">
        <color auto="1"/>
      </left>
      <right style="thick">
        <color auto="1"/>
      </right>
      <top style="thick">
        <color auto="1"/>
      </top>
      <bottom style="thick">
        <color auto="1"/>
      </bottom>
      <diagonal/>
    </border>
    <border>
      <left/>
      <right style="dashDot">
        <color auto="1"/>
      </right>
      <top/>
      <bottom style="dashDotDot">
        <color auto="1"/>
      </bottom>
      <diagonal/>
    </border>
    <border>
      <left style="dashDot">
        <color auto="1"/>
      </left>
      <right style="thick">
        <color auto="1"/>
      </right>
      <top style="dashDotDot">
        <color auto="1"/>
      </top>
      <bottom/>
      <diagonal/>
    </border>
    <border>
      <left style="dashDot">
        <color auto="1"/>
      </left>
      <right style="dashDot">
        <color auto="1"/>
      </right>
      <top/>
      <bottom/>
      <diagonal/>
    </border>
    <border>
      <left style="dashDot">
        <color auto="1"/>
      </left>
      <right style="dashDot">
        <color auto="1"/>
      </right>
      <top/>
      <bottom style="dashDotDot">
        <color auto="1"/>
      </bottom>
      <diagonal/>
    </border>
    <border>
      <left style="dashDot">
        <color auto="1"/>
      </left>
      <right style="thick">
        <color auto="1"/>
      </right>
      <top/>
      <bottom style="dashDotDot">
        <color auto="1"/>
      </bottom>
      <diagonal/>
    </border>
    <border>
      <left style="dashDot">
        <color auto="1"/>
      </left>
      <right style="dashDot">
        <color auto="1"/>
      </right>
      <top style="dashDotDot">
        <color auto="1"/>
      </top>
      <bottom style="dashDotDot">
        <color auto="1"/>
      </bottom>
      <diagonal/>
    </border>
    <border>
      <left style="dashDot">
        <color auto="1"/>
      </left>
      <right style="dashDot">
        <color auto="1"/>
      </right>
      <top/>
      <bottom style="thick">
        <color auto="1"/>
      </bottom>
      <diagonal/>
    </border>
    <border>
      <left style="dashDot">
        <color auto="1"/>
      </left>
      <right style="dashDot">
        <color auto="1"/>
      </right>
      <top style="dashDotDot">
        <color auto="1"/>
      </top>
      <bottom style="thick">
        <color auto="1"/>
      </bottom>
      <diagonal/>
    </border>
    <border>
      <left style="dashDot">
        <color auto="1"/>
      </left>
      <right style="dashDot">
        <color auto="1"/>
      </right>
      <top style="dashDotDot">
        <color auto="1"/>
      </top>
      <bottom/>
      <diagonal/>
    </border>
    <border>
      <left style="dashDot">
        <color auto="1"/>
      </left>
      <right style="dashDot">
        <color auto="1"/>
      </right>
      <top style="thick">
        <color auto="1"/>
      </top>
      <bottom style="dashDotDot">
        <color auto="1"/>
      </bottom>
      <diagonal/>
    </border>
    <border>
      <left style="thick">
        <color auto="1"/>
      </left>
      <right/>
      <top/>
      <bottom style="dashDotDot">
        <color auto="1"/>
      </bottom>
      <diagonal/>
    </border>
    <border>
      <left style="thin">
        <color auto="1"/>
      </left>
      <right/>
      <top style="thin">
        <color auto="1"/>
      </top>
      <bottom style="thin">
        <color auto="1"/>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top style="thick">
        <color auto="1"/>
      </top>
      <bottom style="thin">
        <color auto="1"/>
      </bottom>
      <diagonal/>
    </border>
    <border>
      <left/>
      <right/>
      <top style="thin">
        <color auto="1"/>
      </top>
      <bottom style="thick">
        <color auto="1"/>
      </bottom>
      <diagonal/>
    </border>
    <border>
      <left/>
      <right/>
      <top/>
      <bottom style="dashDotDot">
        <color auto="1"/>
      </bottom>
      <diagonal/>
    </border>
    <border>
      <left style="dashDot">
        <color auto="1"/>
      </left>
      <right/>
      <top/>
      <bottom style="thick">
        <color auto="1"/>
      </bottom>
      <diagonal/>
    </border>
    <border>
      <left style="dashDot">
        <color auto="1"/>
      </left>
      <right/>
      <top style="thick">
        <color auto="1"/>
      </top>
      <bottom style="thick">
        <color auto="1"/>
      </bottom>
      <diagonal/>
    </border>
    <border>
      <left style="dashDot">
        <color auto="1"/>
      </left>
      <right/>
      <top style="thick">
        <color auto="1"/>
      </top>
      <bottom style="dashDotDot">
        <color auto="1"/>
      </bottom>
      <diagonal/>
    </border>
    <border>
      <left style="dashDot">
        <color auto="1"/>
      </left>
      <right/>
      <top style="dashDotDot">
        <color auto="1"/>
      </top>
      <bottom style="dashDotDot">
        <color auto="1"/>
      </bottom>
      <diagonal/>
    </border>
    <border>
      <left style="dashDot">
        <color auto="1"/>
      </left>
      <right/>
      <top style="dashDotDot">
        <color auto="1"/>
      </top>
      <bottom style="thick">
        <color auto="1"/>
      </bottom>
      <diagonal/>
    </border>
    <border>
      <left style="dashDot">
        <color auto="1"/>
      </left>
      <right/>
      <top style="thick">
        <color auto="1"/>
      </top>
      <bottom/>
      <diagonal/>
    </border>
    <border>
      <left style="thick">
        <color auto="1"/>
      </left>
      <right/>
      <top style="thick">
        <color auto="1"/>
      </top>
      <bottom style="dashDot">
        <color auto="1"/>
      </bottom>
      <diagonal/>
    </border>
    <border>
      <left style="thick">
        <color auto="1"/>
      </left>
      <right/>
      <top style="dashDot">
        <color auto="1"/>
      </top>
      <bottom style="dashDot">
        <color auto="1"/>
      </bottom>
      <diagonal/>
    </border>
    <border>
      <left style="thick">
        <color auto="1"/>
      </left>
      <right/>
      <top style="dashDot">
        <color auto="1"/>
      </top>
      <bottom style="thick">
        <color auto="1"/>
      </bottom>
      <diagonal/>
    </border>
  </borders>
  <cellStyleXfs count="1">
    <xf numFmtId="0" fontId="0" fillId="0" borderId="0"/>
  </cellStyleXfs>
  <cellXfs count="377">
    <xf numFmtId="0" fontId="0" fillId="0" borderId="0" xfId="0"/>
    <xf numFmtId="0" fontId="0" fillId="4" borderId="11" xfId="0" applyFill="1" applyBorder="1" applyProtection="1">
      <protection hidden="1"/>
    </xf>
    <xf numFmtId="0" fontId="2" fillId="2" borderId="11" xfId="0" applyFont="1" applyFill="1" applyBorder="1" applyProtection="1">
      <protection hidden="1"/>
    </xf>
    <xf numFmtId="0" fontId="2" fillId="6" borderId="28" xfId="0" applyFont="1" applyFill="1" applyBorder="1" applyAlignment="1" applyProtection="1">
      <alignment horizontal="right"/>
      <protection hidden="1"/>
    </xf>
    <xf numFmtId="0" fontId="2" fillId="6" borderId="29" xfId="0" applyFont="1" applyFill="1" applyBorder="1" applyAlignment="1" applyProtection="1">
      <alignment horizontal="right"/>
      <protection hidden="1"/>
    </xf>
    <xf numFmtId="0" fontId="2" fillId="2" borderId="0" xfId="0" applyFont="1" applyFill="1" applyBorder="1" applyAlignment="1" applyProtection="1">
      <alignment horizontal="left"/>
      <protection hidden="1"/>
    </xf>
    <xf numFmtId="0" fontId="2" fillId="8" borderId="0" xfId="0" applyFont="1" applyFill="1" applyBorder="1" applyAlignment="1" applyProtection="1">
      <alignment horizontal="left"/>
      <protection hidden="1"/>
    </xf>
    <xf numFmtId="0" fontId="0" fillId="2" borderId="0" xfId="0" applyFill="1" applyBorder="1" applyProtection="1">
      <protection hidden="1"/>
    </xf>
    <xf numFmtId="0" fontId="0" fillId="2" borderId="13" xfId="0" applyFill="1" applyBorder="1" applyProtection="1">
      <protection hidden="1"/>
    </xf>
    <xf numFmtId="0" fontId="0" fillId="5" borderId="14" xfId="0" applyFill="1" applyBorder="1" applyAlignment="1" applyProtection="1">
      <alignment horizontal="right"/>
      <protection hidden="1"/>
    </xf>
    <xf numFmtId="0" fontId="0" fillId="4" borderId="22" xfId="0" applyFill="1" applyBorder="1" applyAlignment="1" applyProtection="1">
      <alignment shrinkToFit="1"/>
      <protection hidden="1"/>
    </xf>
    <xf numFmtId="3" fontId="0" fillId="6" borderId="23" xfId="0" applyNumberFormat="1" applyFill="1" applyBorder="1" applyAlignment="1" applyProtection="1">
      <alignment horizontal="right"/>
      <protection hidden="1"/>
    </xf>
    <xf numFmtId="0" fontId="2" fillId="2" borderId="0" xfId="0" applyFont="1" applyFill="1" applyBorder="1" applyProtection="1">
      <protection hidden="1"/>
    </xf>
    <xf numFmtId="0" fontId="0" fillId="6" borderId="46" xfId="0" applyFill="1" applyBorder="1" applyAlignment="1" applyProtection="1">
      <alignment horizontal="right"/>
      <protection hidden="1"/>
    </xf>
    <xf numFmtId="164" fontId="0" fillId="6" borderId="19" xfId="0" applyNumberFormat="1" applyFill="1" applyBorder="1" applyAlignment="1" applyProtection="1">
      <alignment horizontal="right"/>
      <protection hidden="1"/>
    </xf>
    <xf numFmtId="0" fontId="0" fillId="2" borderId="0" xfId="0" applyFill="1" applyBorder="1" applyAlignment="1" applyProtection="1">
      <alignment horizontal="right"/>
      <protection hidden="1"/>
    </xf>
    <xf numFmtId="0" fontId="0" fillId="8" borderId="0" xfId="0" applyFill="1" applyBorder="1" applyAlignment="1" applyProtection="1">
      <alignment horizontal="right"/>
      <protection hidden="1"/>
    </xf>
    <xf numFmtId="3" fontId="0" fillId="6" borderId="36" xfId="0" applyNumberFormat="1" applyFill="1" applyBorder="1" applyAlignment="1" applyProtection="1">
      <alignment horizontal="right"/>
      <protection hidden="1"/>
    </xf>
    <xf numFmtId="0" fontId="0" fillId="4" borderId="24" xfId="0" applyFill="1" applyBorder="1" applyAlignment="1" applyProtection="1">
      <alignment shrinkToFit="1"/>
      <protection hidden="1"/>
    </xf>
    <xf numFmtId="0" fontId="0" fillId="6" borderId="47" xfId="0" applyFill="1" applyBorder="1" applyAlignment="1" applyProtection="1">
      <alignment horizontal="right"/>
      <protection hidden="1"/>
    </xf>
    <xf numFmtId="164" fontId="0" fillId="6" borderId="20" xfId="0" applyNumberFormat="1" applyFill="1" applyBorder="1" applyAlignment="1" applyProtection="1">
      <alignment horizontal="right"/>
      <protection hidden="1"/>
    </xf>
    <xf numFmtId="0" fontId="0" fillId="2" borderId="2" xfId="0" applyFill="1" applyBorder="1" applyProtection="1">
      <protection hidden="1"/>
    </xf>
    <xf numFmtId="3" fontId="0" fillId="6" borderId="34" xfId="0" applyNumberFormat="1" applyFill="1" applyBorder="1" applyAlignment="1" applyProtection="1">
      <alignment horizontal="right"/>
      <protection hidden="1"/>
    </xf>
    <xf numFmtId="0" fontId="0" fillId="2" borderId="37" xfId="0" applyFill="1" applyBorder="1" applyProtection="1">
      <protection hidden="1"/>
    </xf>
    <xf numFmtId="0" fontId="0" fillId="2" borderId="4" xfId="0" applyFill="1" applyBorder="1" applyProtection="1">
      <protection hidden="1"/>
    </xf>
    <xf numFmtId="0" fontId="0" fillId="2" borderId="42" xfId="0" applyFill="1" applyBorder="1" applyProtection="1">
      <protection hidden="1"/>
    </xf>
    <xf numFmtId="0" fontId="0" fillId="2" borderId="6" xfId="0" applyFill="1" applyBorder="1" applyProtection="1">
      <protection hidden="1"/>
    </xf>
    <xf numFmtId="0" fontId="0" fillId="4" borderId="26" xfId="0" applyFill="1" applyBorder="1" applyAlignment="1" applyProtection="1">
      <alignment shrinkToFit="1"/>
      <protection hidden="1"/>
    </xf>
    <xf numFmtId="3" fontId="0" fillId="6" borderId="27" xfId="0" applyNumberFormat="1" applyFill="1" applyBorder="1" applyAlignment="1" applyProtection="1">
      <alignment horizontal="right"/>
      <protection hidden="1"/>
    </xf>
    <xf numFmtId="0" fontId="0" fillId="6" borderId="48" xfId="0" applyFill="1" applyBorder="1" applyAlignment="1" applyProtection="1">
      <alignment horizontal="right"/>
      <protection hidden="1"/>
    </xf>
    <xf numFmtId="164" fontId="0" fillId="6" borderId="21" xfId="0" applyNumberFormat="1" applyFill="1" applyBorder="1" applyAlignment="1" applyProtection="1">
      <alignment horizontal="right"/>
      <protection hidden="1"/>
    </xf>
    <xf numFmtId="3" fontId="0" fillId="6" borderId="35" xfId="0" applyNumberFormat="1" applyFill="1" applyBorder="1" applyAlignment="1" applyProtection="1">
      <alignment horizontal="right"/>
      <protection hidden="1"/>
    </xf>
    <xf numFmtId="0" fontId="0" fillId="4" borderId="13" xfId="0" applyFill="1" applyBorder="1" applyProtection="1">
      <protection hidden="1"/>
    </xf>
    <xf numFmtId="3" fontId="0" fillId="7" borderId="44" xfId="0" applyNumberFormat="1" applyFill="1" applyBorder="1" applyProtection="1">
      <protection hidden="1"/>
    </xf>
    <xf numFmtId="164" fontId="0" fillId="7" borderId="45" xfId="0" applyNumberFormat="1" applyFill="1" applyBorder="1" applyAlignment="1" applyProtection="1">
      <alignment horizontal="right"/>
      <protection hidden="1"/>
    </xf>
    <xf numFmtId="0" fontId="0" fillId="8" borderId="0" xfId="0" applyFill="1" applyBorder="1" applyProtection="1">
      <protection hidden="1"/>
    </xf>
    <xf numFmtId="3" fontId="0" fillId="7" borderId="45" xfId="0" applyNumberFormat="1" applyFill="1" applyBorder="1" applyAlignment="1" applyProtection="1">
      <alignment horizontal="right"/>
      <protection hidden="1"/>
    </xf>
    <xf numFmtId="0" fontId="6" fillId="9" borderId="0" xfId="0" applyFont="1" applyFill="1" applyBorder="1" applyProtection="1">
      <protection hidden="1"/>
    </xf>
    <xf numFmtId="0" fontId="0" fillId="2" borderId="2" xfId="0" applyFont="1" applyFill="1" applyBorder="1" applyProtection="1">
      <protection hidden="1"/>
    </xf>
    <xf numFmtId="0" fontId="1" fillId="2" borderId="0" xfId="0" applyFont="1" applyFill="1" applyBorder="1" applyAlignment="1" applyProtection="1">
      <protection hidden="1"/>
    </xf>
    <xf numFmtId="0" fontId="0" fillId="8" borderId="0" xfId="0" applyFill="1" applyBorder="1" applyAlignment="1" applyProtection="1">
      <alignment horizontal="left"/>
      <protection hidden="1"/>
    </xf>
    <xf numFmtId="0" fontId="2" fillId="2" borderId="4" xfId="0" applyFont="1" applyFill="1" applyBorder="1" applyProtection="1">
      <protection hidden="1"/>
    </xf>
    <xf numFmtId="3" fontId="0" fillId="6" borderId="5" xfId="0" applyNumberFormat="1" applyFill="1" applyBorder="1" applyAlignment="1" applyProtection="1">
      <alignment horizontal="right"/>
      <protection hidden="1"/>
    </xf>
    <xf numFmtId="0" fontId="2" fillId="2" borderId="6" xfId="0" applyFont="1" applyFill="1" applyBorder="1" applyProtection="1">
      <protection hidden="1"/>
    </xf>
    <xf numFmtId="3" fontId="0" fillId="7" borderId="7" xfId="0" applyNumberFormat="1" applyFill="1" applyBorder="1" applyAlignment="1" applyProtection="1">
      <alignment horizontal="right"/>
      <protection hidden="1"/>
    </xf>
    <xf numFmtId="0" fontId="4" fillId="2" borderId="0" xfId="0" applyFont="1" applyFill="1" applyBorder="1" applyAlignment="1" applyProtection="1">
      <alignment horizontal="right"/>
      <protection hidden="1"/>
    </xf>
    <xf numFmtId="3" fontId="0" fillId="7" borderId="1" xfId="0" applyNumberFormat="1" applyFill="1" applyBorder="1" applyAlignment="1" applyProtection="1">
      <alignment horizontal="right"/>
      <protection hidden="1"/>
    </xf>
    <xf numFmtId="0" fontId="5" fillId="2" borderId="0" xfId="0" applyFont="1" applyFill="1" applyBorder="1" applyAlignment="1" applyProtection="1">
      <alignment shrinkToFit="1"/>
      <protection hidden="1"/>
    </xf>
    <xf numFmtId="0" fontId="8" fillId="9" borderId="0" xfId="0" applyFont="1" applyFill="1" applyBorder="1" applyAlignment="1" applyProtection="1">
      <alignment horizontal="left" shrinkToFit="1"/>
      <protection hidden="1"/>
    </xf>
    <xf numFmtId="0" fontId="1" fillId="2" borderId="0" xfId="0" applyFont="1" applyFill="1" applyBorder="1" applyAlignment="1" applyProtection="1">
      <alignment shrinkToFit="1"/>
      <protection hidden="1"/>
    </xf>
    <xf numFmtId="0" fontId="0" fillId="2" borderId="0" xfId="0" applyFill="1" applyBorder="1" applyAlignment="1" applyProtection="1">
      <alignment shrinkToFit="1"/>
      <protection hidden="1"/>
    </xf>
    <xf numFmtId="0" fontId="2" fillId="2" borderId="2" xfId="0" applyFont="1" applyFill="1" applyBorder="1" applyProtection="1">
      <protection hidden="1"/>
    </xf>
    <xf numFmtId="3" fontId="0" fillId="7" borderId="3" xfId="0" applyNumberFormat="1" applyFill="1" applyBorder="1" applyAlignment="1" applyProtection="1">
      <alignment horizontal="right"/>
      <protection hidden="1"/>
    </xf>
    <xf numFmtId="0" fontId="0" fillId="2" borderId="8" xfId="0" applyFill="1" applyBorder="1" applyProtection="1">
      <protection hidden="1"/>
    </xf>
    <xf numFmtId="3" fontId="0" fillId="7" borderId="9" xfId="0" applyNumberFormat="1" applyFill="1" applyBorder="1" applyAlignment="1" applyProtection="1">
      <alignment horizontal="right"/>
      <protection hidden="1"/>
    </xf>
    <xf numFmtId="3" fontId="0" fillId="8" borderId="0" xfId="0" applyNumberFormat="1" applyFill="1" applyBorder="1" applyAlignment="1" applyProtection="1">
      <alignment horizontal="right"/>
      <protection hidden="1"/>
    </xf>
    <xf numFmtId="0" fontId="0" fillId="2" borderId="10" xfId="0" applyFill="1" applyBorder="1" applyProtection="1">
      <protection hidden="1"/>
    </xf>
    <xf numFmtId="3" fontId="0" fillId="7" borderId="12" xfId="0" applyNumberFormat="1" applyFill="1" applyBorder="1" applyAlignment="1" applyProtection="1">
      <alignment horizontal="right"/>
      <protection hidden="1"/>
    </xf>
    <xf numFmtId="0" fontId="0" fillId="2" borderId="0" xfId="0" applyFill="1" applyBorder="1" applyAlignment="1" applyProtection="1">
      <protection hidden="1"/>
    </xf>
    <xf numFmtId="0" fontId="2" fillId="12" borderId="0" xfId="0" applyFont="1" applyFill="1" applyBorder="1" applyProtection="1">
      <protection hidden="1"/>
    </xf>
    <xf numFmtId="0" fontId="2" fillId="11" borderId="0" xfId="0" applyFont="1" applyFill="1" applyBorder="1" applyProtection="1">
      <protection hidden="1"/>
    </xf>
    <xf numFmtId="0" fontId="0" fillId="13" borderId="0" xfId="0" applyFill="1" applyBorder="1" applyProtection="1">
      <protection hidden="1"/>
    </xf>
    <xf numFmtId="0" fontId="2" fillId="14" borderId="0" xfId="0" applyFont="1" applyFill="1" applyBorder="1" applyProtection="1">
      <protection hidden="1"/>
    </xf>
    <xf numFmtId="0" fontId="11" fillId="2" borderId="0" xfId="0" applyFont="1" applyFill="1" applyBorder="1" applyAlignment="1" applyProtection="1">
      <protection hidden="1"/>
    </xf>
    <xf numFmtId="0" fontId="0" fillId="2" borderId="49" xfId="0" applyFill="1" applyBorder="1" applyAlignment="1" applyProtection="1">
      <protection hidden="1"/>
    </xf>
    <xf numFmtId="0" fontId="2" fillId="4" borderId="0" xfId="0" applyFont="1" applyFill="1" applyBorder="1" applyProtection="1">
      <protection hidden="1"/>
    </xf>
    <xf numFmtId="0" fontId="0" fillId="4" borderId="0" xfId="0" applyFill="1" applyBorder="1" applyProtection="1">
      <protection hidden="1"/>
    </xf>
    <xf numFmtId="3" fontId="0" fillId="8" borderId="0" xfId="0" applyNumberFormat="1" applyFill="1" applyBorder="1" applyProtection="1">
      <protection hidden="1"/>
    </xf>
    <xf numFmtId="0" fontId="2" fillId="2" borderId="14" xfId="0" applyFont="1" applyFill="1" applyBorder="1" applyProtection="1">
      <protection hidden="1"/>
    </xf>
    <xf numFmtId="0" fontId="2" fillId="6" borderId="44" xfId="0" applyFont="1" applyFill="1" applyBorder="1" applyAlignment="1" applyProtection="1">
      <alignment horizontal="right"/>
      <protection hidden="1"/>
    </xf>
    <xf numFmtId="0" fontId="2" fillId="6" borderId="50" xfId="0" applyFont="1" applyFill="1" applyBorder="1" applyAlignment="1" applyProtection="1">
      <alignment horizontal="right"/>
      <protection hidden="1"/>
    </xf>
    <xf numFmtId="3" fontId="0" fillId="6" borderId="46" xfId="0" applyNumberFormat="1" applyFill="1" applyBorder="1" applyAlignment="1" applyProtection="1">
      <alignment horizontal="right"/>
      <protection hidden="1"/>
    </xf>
    <xf numFmtId="3" fontId="0" fillId="6" borderId="47" xfId="0" applyNumberFormat="1" applyFill="1" applyBorder="1" applyAlignment="1" applyProtection="1">
      <alignment horizontal="right"/>
      <protection hidden="1"/>
    </xf>
    <xf numFmtId="3" fontId="0" fillId="6" borderId="40" xfId="0" applyNumberFormat="1" applyFill="1" applyBorder="1" applyAlignment="1" applyProtection="1">
      <alignment horizontal="right"/>
      <protection hidden="1"/>
    </xf>
    <xf numFmtId="3" fontId="0" fillId="6" borderId="48" xfId="0" applyNumberFormat="1" applyFill="1" applyBorder="1" applyAlignment="1" applyProtection="1">
      <alignment horizontal="right"/>
      <protection hidden="1"/>
    </xf>
    <xf numFmtId="3" fontId="0" fillId="6" borderId="41" xfId="0" applyNumberFormat="1" applyFill="1" applyBorder="1" applyAlignment="1" applyProtection="1">
      <alignment horizontal="right"/>
      <protection hidden="1"/>
    </xf>
    <xf numFmtId="3" fontId="0" fillId="7" borderId="45" xfId="0" applyNumberFormat="1" applyFont="1" applyFill="1" applyBorder="1" applyAlignment="1" applyProtection="1">
      <alignment horizontal="right"/>
      <protection hidden="1"/>
    </xf>
    <xf numFmtId="3" fontId="0" fillId="7" borderId="50" xfId="0" applyNumberFormat="1" applyFont="1" applyFill="1" applyBorder="1" applyAlignment="1" applyProtection="1">
      <alignment horizontal="right"/>
      <protection hidden="1"/>
    </xf>
    <xf numFmtId="3" fontId="0" fillId="6" borderId="51" xfId="0" applyNumberFormat="1" applyFill="1" applyBorder="1" applyAlignment="1" applyProtection="1">
      <alignment horizontal="right"/>
      <protection hidden="1"/>
    </xf>
    <xf numFmtId="3" fontId="0" fillId="6" borderId="25" xfId="0" applyNumberFormat="1" applyFill="1" applyBorder="1" applyAlignment="1" applyProtection="1">
      <alignment horizontal="right"/>
      <protection hidden="1"/>
    </xf>
    <xf numFmtId="0" fontId="12" fillId="9" borderId="0" xfId="0" applyFont="1" applyFill="1" applyBorder="1" applyAlignment="1" applyProtection="1">
      <alignment vertical="center" textRotation="180" wrapText="1"/>
      <protection hidden="1"/>
    </xf>
    <xf numFmtId="0" fontId="0" fillId="2" borderId="15" xfId="0" applyFill="1" applyBorder="1" applyAlignment="1" applyProtection="1">
      <alignment horizontal="right"/>
      <protection hidden="1"/>
    </xf>
    <xf numFmtId="3" fontId="0" fillId="4" borderId="49" xfId="0" applyNumberFormat="1" applyFill="1" applyBorder="1" applyProtection="1">
      <protection hidden="1"/>
    </xf>
    <xf numFmtId="0" fontId="10" fillId="2" borderId="0" xfId="0" applyFont="1" applyFill="1" applyBorder="1" applyAlignment="1" applyProtection="1">
      <alignment horizontal="right"/>
      <protection hidden="1"/>
    </xf>
    <xf numFmtId="0" fontId="0" fillId="10" borderId="0" xfId="0" applyFill="1" applyBorder="1" applyProtection="1">
      <protection hidden="1"/>
    </xf>
    <xf numFmtId="0" fontId="0" fillId="9" borderId="10" xfId="0" applyFill="1" applyBorder="1" applyAlignment="1">
      <alignment horizontal="right"/>
    </xf>
    <xf numFmtId="0" fontId="0" fillId="5" borderId="52" xfId="0" applyFill="1" applyBorder="1" applyAlignment="1">
      <alignment horizontal="right" vertical="center"/>
    </xf>
    <xf numFmtId="165" fontId="0" fillId="7" borderId="15" xfId="0" applyNumberFormat="1" applyFill="1" applyBorder="1"/>
    <xf numFmtId="0" fontId="0" fillId="10" borderId="22" xfId="0" applyFill="1" applyBorder="1" applyAlignment="1"/>
    <xf numFmtId="0" fontId="0" fillId="10" borderId="26" xfId="0" applyFill="1" applyBorder="1" applyAlignment="1"/>
    <xf numFmtId="0" fontId="0" fillId="15" borderId="0" xfId="0" applyFill="1" applyBorder="1" applyAlignment="1">
      <alignment horizontal="center" vertical="center"/>
    </xf>
    <xf numFmtId="0" fontId="2" fillId="16" borderId="0" xfId="0" applyFont="1" applyFill="1" applyBorder="1" applyProtection="1">
      <protection hidden="1"/>
    </xf>
    <xf numFmtId="0" fontId="0" fillId="16" borderId="0" xfId="0" applyFill="1" applyBorder="1" applyProtection="1">
      <protection hidden="1"/>
    </xf>
    <xf numFmtId="0" fontId="0" fillId="15" borderId="0" xfId="0" applyFill="1" applyBorder="1"/>
    <xf numFmtId="0" fontId="0" fillId="15" borderId="0" xfId="0" applyFill="1" applyBorder="1" applyAlignment="1"/>
    <xf numFmtId="0" fontId="0" fillId="15" borderId="0" xfId="0" applyFill="1" applyBorder="1" applyProtection="1">
      <protection hidden="1"/>
    </xf>
    <xf numFmtId="0" fontId="14" fillId="2" borderId="6" xfId="0" applyFont="1" applyFill="1" applyBorder="1" applyAlignment="1" applyProtection="1">
      <protection hidden="1"/>
    </xf>
    <xf numFmtId="0" fontId="14" fillId="2" borderId="42" xfId="0" applyFont="1" applyFill="1" applyBorder="1" applyAlignment="1" applyProtection="1">
      <protection hidden="1"/>
    </xf>
    <xf numFmtId="0" fontId="14" fillId="2" borderId="42" xfId="0" applyFont="1" applyFill="1" applyBorder="1" applyProtection="1">
      <protection hidden="1"/>
    </xf>
    <xf numFmtId="3" fontId="0" fillId="6" borderId="44" xfId="0" applyNumberFormat="1" applyFill="1" applyBorder="1" applyAlignment="1" applyProtection="1">
      <alignment horizontal="right"/>
      <protection hidden="1"/>
    </xf>
    <xf numFmtId="166" fontId="0" fillId="15" borderId="0" xfId="0" applyNumberFormat="1" applyFill="1" applyBorder="1" applyAlignment="1"/>
    <xf numFmtId="164" fontId="0" fillId="15" borderId="0" xfId="0" applyNumberFormat="1" applyFill="1" applyBorder="1" applyAlignment="1" applyProtection="1">
      <alignment horizontal="right"/>
      <protection hidden="1"/>
    </xf>
    <xf numFmtId="0" fontId="5" fillId="16" borderId="0" xfId="0" applyFont="1" applyFill="1" applyBorder="1" applyAlignment="1" applyProtection="1">
      <alignment horizontal="left" vertical="center"/>
      <protection hidden="1"/>
    </xf>
    <xf numFmtId="0" fontId="0" fillId="15" borderId="0" xfId="0" applyFill="1" applyBorder="1" applyAlignment="1" applyProtection="1">
      <alignment shrinkToFit="1"/>
      <protection hidden="1"/>
    </xf>
    <xf numFmtId="165" fontId="0" fillId="6" borderId="53" xfId="0" applyNumberFormat="1" applyFill="1" applyBorder="1" applyAlignment="1" applyProtection="1">
      <alignment horizontal="right"/>
      <protection hidden="1"/>
    </xf>
    <xf numFmtId="165" fontId="0" fillId="6" borderId="17" xfId="0" applyNumberFormat="1" applyFill="1" applyBorder="1" applyAlignment="1" applyProtection="1">
      <alignment horizontal="right"/>
      <protection hidden="1"/>
    </xf>
    <xf numFmtId="165" fontId="0" fillId="6" borderId="18" xfId="0" applyNumberFormat="1" applyFill="1" applyBorder="1" applyAlignment="1" applyProtection="1">
      <alignment horizontal="right"/>
      <protection hidden="1"/>
    </xf>
    <xf numFmtId="0" fontId="0" fillId="2" borderId="0" xfId="0" applyFill="1" applyBorder="1" applyAlignment="1" applyProtection="1">
      <alignment horizontal="center"/>
      <protection hidden="1"/>
    </xf>
    <xf numFmtId="0" fontId="0" fillId="2" borderId="11" xfId="0" applyFill="1" applyBorder="1" applyProtection="1">
      <protection hidden="1"/>
    </xf>
    <xf numFmtId="0" fontId="0" fillId="10" borderId="11" xfId="0" applyFill="1" applyBorder="1" applyAlignment="1">
      <alignment horizontal="center" vertical="center"/>
    </xf>
    <xf numFmtId="0" fontId="14" fillId="2" borderId="6" xfId="0" applyFont="1" applyFill="1" applyBorder="1" applyProtection="1">
      <protection hidden="1"/>
    </xf>
    <xf numFmtId="0" fontId="0" fillId="2" borderId="0" xfId="0" applyFill="1" applyBorder="1" applyAlignment="1" applyProtection="1">
      <alignment horizontal="center"/>
      <protection hidden="1"/>
    </xf>
    <xf numFmtId="3" fontId="0" fillId="6" borderId="25" xfId="0" applyNumberFormat="1" applyFill="1" applyBorder="1" applyAlignment="1" applyProtection="1">
      <alignment horizontal="right"/>
      <protection hidden="1"/>
    </xf>
    <xf numFmtId="0" fontId="2" fillId="17" borderId="0" xfId="0" applyFont="1" applyFill="1" applyBorder="1" applyProtection="1">
      <protection hidden="1"/>
    </xf>
    <xf numFmtId="166" fontId="0" fillId="2" borderId="0" xfId="0" applyNumberFormat="1" applyFill="1" applyBorder="1" applyProtection="1">
      <protection hidden="1"/>
    </xf>
    <xf numFmtId="166" fontId="2" fillId="2" borderId="0" xfId="0" applyNumberFormat="1" applyFont="1" applyFill="1" applyBorder="1" applyProtection="1">
      <protection hidden="1"/>
    </xf>
    <xf numFmtId="164" fontId="0" fillId="15" borderId="0" xfId="0" applyNumberFormat="1" applyFill="1" applyBorder="1" applyProtection="1">
      <protection hidden="1"/>
    </xf>
    <xf numFmtId="0" fontId="17" fillId="2" borderId="0" xfId="0" applyFont="1" applyFill="1" applyBorder="1" applyAlignment="1" applyProtection="1">
      <alignment horizontal="center" vertical="top"/>
      <protection hidden="1"/>
    </xf>
    <xf numFmtId="0" fontId="0" fillId="17" borderId="0" xfId="0" applyFill="1" applyBorder="1" applyAlignment="1" applyProtection="1">
      <alignment horizontal="center"/>
      <protection hidden="1"/>
    </xf>
    <xf numFmtId="0" fontId="0" fillId="17" borderId="0" xfId="0" applyFill="1" applyBorder="1" applyProtection="1">
      <protection hidden="1"/>
    </xf>
    <xf numFmtId="0" fontId="6" fillId="18" borderId="0" xfId="0" applyFont="1" applyFill="1" applyBorder="1" applyProtection="1">
      <protection hidden="1"/>
    </xf>
    <xf numFmtId="0" fontId="0" fillId="17" borderId="0" xfId="0" applyFill="1" applyBorder="1" applyAlignment="1" applyProtection="1">
      <alignment vertical="top"/>
      <protection hidden="1"/>
    </xf>
    <xf numFmtId="0" fontId="0" fillId="17" borderId="0" xfId="0" applyFill="1" applyBorder="1" applyAlignment="1" applyProtection="1">
      <alignment horizontal="center" vertical="top"/>
      <protection hidden="1"/>
    </xf>
    <xf numFmtId="0" fontId="0" fillId="17" borderId="0" xfId="0" applyFill="1" applyBorder="1" applyAlignment="1" applyProtection="1">
      <protection hidden="1"/>
    </xf>
    <xf numFmtId="0" fontId="2" fillId="19" borderId="0" xfId="0" applyFont="1" applyFill="1" applyBorder="1" applyProtection="1">
      <protection hidden="1"/>
    </xf>
    <xf numFmtId="0" fontId="0" fillId="19" borderId="0" xfId="0" applyFill="1" applyBorder="1" applyAlignment="1" applyProtection="1">
      <alignment horizontal="right"/>
      <protection hidden="1"/>
    </xf>
    <xf numFmtId="0" fontId="0" fillId="17" borderId="0" xfId="0" applyFill="1" applyBorder="1" applyAlignment="1" applyProtection="1">
      <alignment horizontal="left" vertical="top"/>
      <protection hidden="1"/>
    </xf>
    <xf numFmtId="0" fontId="0" fillId="17" borderId="0" xfId="0" applyFill="1" applyBorder="1" applyAlignment="1" applyProtection="1">
      <alignment horizontal="left"/>
      <protection hidden="1"/>
    </xf>
    <xf numFmtId="0" fontId="0" fillId="17" borderId="0" xfId="0" applyFont="1" applyFill="1" applyBorder="1" applyAlignment="1" applyProtection="1">
      <alignment horizontal="left"/>
      <protection hidden="1"/>
    </xf>
    <xf numFmtId="0" fontId="0" fillId="19" borderId="0" xfId="0" applyFill="1" applyBorder="1" applyProtection="1">
      <protection hidden="1"/>
    </xf>
    <xf numFmtId="0" fontId="0" fillId="18" borderId="0" xfId="0" applyFill="1" applyBorder="1" applyAlignment="1">
      <alignment horizontal="center" vertical="center"/>
    </xf>
    <xf numFmtId="0" fontId="0" fillId="18" borderId="0" xfId="0" applyFill="1" applyBorder="1"/>
    <xf numFmtId="165" fontId="0" fillId="18" borderId="0" xfId="0" applyNumberFormat="1" applyFill="1" applyBorder="1" applyAlignment="1"/>
    <xf numFmtId="0" fontId="0" fillId="18" borderId="0" xfId="0" applyFill="1" applyBorder="1" applyProtection="1">
      <protection hidden="1"/>
    </xf>
    <xf numFmtId="0" fontId="3" fillId="17" borderId="0" xfId="0" applyFont="1" applyFill="1" applyBorder="1" applyProtection="1">
      <protection hidden="1"/>
    </xf>
    <xf numFmtId="3" fontId="0" fillId="17" borderId="0" xfId="0" applyNumberFormat="1" applyFill="1" applyBorder="1" applyProtection="1">
      <protection hidden="1"/>
    </xf>
    <xf numFmtId="0" fontId="0" fillId="18" borderId="0" xfId="0" applyFill="1" applyBorder="1" applyAlignment="1" applyProtection="1">
      <alignment horizontal="center"/>
      <protection hidden="1"/>
    </xf>
    <xf numFmtId="0" fontId="3" fillId="17" borderId="11" xfId="0" applyFont="1" applyFill="1" applyBorder="1" applyProtection="1">
      <protection hidden="1"/>
    </xf>
    <xf numFmtId="0" fontId="3" fillId="17" borderId="11" xfId="0" applyFont="1" applyFill="1" applyBorder="1" applyAlignment="1" applyProtection="1">
      <alignment horizontal="center" wrapText="1"/>
      <protection hidden="1"/>
    </xf>
    <xf numFmtId="0" fontId="2" fillId="17" borderId="11" xfId="0" applyFont="1" applyFill="1" applyBorder="1" applyProtection="1">
      <protection hidden="1"/>
    </xf>
    <xf numFmtId="3" fontId="0" fillId="17" borderId="0" xfId="0" applyNumberFormat="1" applyFill="1" applyBorder="1" applyAlignment="1" applyProtection="1">
      <alignment horizontal="right"/>
      <protection hidden="1"/>
    </xf>
    <xf numFmtId="3" fontId="0" fillId="19" borderId="0" xfId="0" applyNumberFormat="1" applyFill="1" applyBorder="1" applyAlignment="1" applyProtection="1">
      <alignment horizontal="right"/>
      <protection hidden="1"/>
    </xf>
    <xf numFmtId="3" fontId="2" fillId="17" borderId="0" xfId="0" applyNumberFormat="1" applyFont="1" applyFill="1" applyBorder="1" applyProtection="1">
      <protection hidden="1"/>
    </xf>
    <xf numFmtId="0" fontId="2" fillId="18" borderId="0" xfId="0" applyFont="1" applyFill="1" applyBorder="1" applyProtection="1">
      <protection hidden="1"/>
    </xf>
    <xf numFmtId="0" fontId="0" fillId="18" borderId="0" xfId="0" applyFill="1" applyBorder="1" applyAlignment="1"/>
    <xf numFmtId="0" fontId="2" fillId="19" borderId="28" xfId="0" applyFont="1" applyFill="1" applyBorder="1" applyAlignment="1" applyProtection="1">
      <alignment horizontal="right"/>
      <protection hidden="1"/>
    </xf>
    <xf numFmtId="0" fontId="0" fillId="19" borderId="30" xfId="0" applyFill="1" applyBorder="1" applyAlignment="1" applyProtection="1">
      <alignment horizontal="right"/>
      <protection hidden="1"/>
    </xf>
    <xf numFmtId="0" fontId="0" fillId="19" borderId="31" xfId="0" applyFill="1" applyBorder="1" applyAlignment="1" applyProtection="1">
      <alignment horizontal="right"/>
      <protection hidden="1"/>
    </xf>
    <xf numFmtId="0" fontId="0" fillId="19" borderId="32" xfId="0" applyFill="1" applyBorder="1" applyAlignment="1" applyProtection="1">
      <alignment horizontal="right"/>
      <protection hidden="1"/>
    </xf>
    <xf numFmtId="0" fontId="11" fillId="17" borderId="0" xfId="0" applyFont="1" applyFill="1" applyBorder="1" applyAlignment="1" applyProtection="1">
      <protection hidden="1"/>
    </xf>
    <xf numFmtId="0" fontId="2" fillId="19" borderId="44" xfId="0" applyFont="1" applyFill="1" applyBorder="1" applyAlignment="1" applyProtection="1">
      <alignment horizontal="right"/>
      <protection hidden="1"/>
    </xf>
    <xf numFmtId="164" fontId="0" fillId="19" borderId="39" xfId="0" applyNumberFormat="1" applyFill="1" applyBorder="1" applyAlignment="1" applyProtection="1">
      <alignment horizontal="right"/>
      <protection hidden="1"/>
    </xf>
    <xf numFmtId="164" fontId="0" fillId="19" borderId="40" xfId="0" applyNumberFormat="1" applyFill="1" applyBorder="1" applyAlignment="1" applyProtection="1">
      <alignment horizontal="right"/>
      <protection hidden="1"/>
    </xf>
    <xf numFmtId="164" fontId="0" fillId="19" borderId="41" xfId="0" applyNumberFormat="1" applyFill="1" applyBorder="1" applyAlignment="1" applyProtection="1">
      <alignment horizontal="right"/>
      <protection hidden="1"/>
    </xf>
    <xf numFmtId="3" fontId="0" fillId="19" borderId="50" xfId="0" applyNumberFormat="1" applyFont="1" applyFill="1" applyBorder="1" applyAlignment="1" applyProtection="1">
      <alignment horizontal="right"/>
      <protection hidden="1"/>
    </xf>
    <xf numFmtId="164" fontId="0" fillId="18" borderId="0" xfId="0" applyNumberFormat="1" applyFill="1" applyBorder="1" applyProtection="1">
      <protection hidden="1"/>
    </xf>
    <xf numFmtId="0" fontId="0" fillId="17" borderId="0" xfId="0" applyFill="1" applyBorder="1" applyAlignment="1" applyProtection="1">
      <alignment horizontal="right"/>
      <protection hidden="1"/>
    </xf>
    <xf numFmtId="0" fontId="1" fillId="19" borderId="0" xfId="0" applyFont="1" applyFill="1" applyBorder="1" applyAlignment="1" applyProtection="1">
      <alignment horizontal="right"/>
      <protection hidden="1"/>
    </xf>
    <xf numFmtId="0" fontId="0" fillId="17" borderId="0" xfId="0" applyFont="1" applyFill="1" applyBorder="1" applyAlignment="1" applyProtection="1">
      <alignment horizontal="center" shrinkToFit="1"/>
      <protection hidden="1"/>
    </xf>
    <xf numFmtId="0" fontId="0" fillId="19" borderId="0" xfId="0" applyFill="1" applyBorder="1" applyAlignment="1" applyProtection="1">
      <alignment horizontal="left"/>
      <protection hidden="1"/>
    </xf>
    <xf numFmtId="164" fontId="0" fillId="18" borderId="0" xfId="0" applyNumberFormat="1" applyFill="1" applyBorder="1" applyAlignment="1" applyProtection="1">
      <alignment horizontal="right"/>
      <protection hidden="1"/>
    </xf>
    <xf numFmtId="0" fontId="0" fillId="18" borderId="0" xfId="0" applyFont="1" applyFill="1" applyBorder="1" applyAlignment="1" applyProtection="1">
      <alignment shrinkToFit="1"/>
      <protection hidden="1"/>
    </xf>
    <xf numFmtId="0" fontId="0" fillId="17" borderId="0" xfId="0" applyFill="1" applyBorder="1" applyAlignment="1" applyProtection="1">
      <alignment shrinkToFit="1"/>
      <protection hidden="1"/>
    </xf>
    <xf numFmtId="0" fontId="0" fillId="9" borderId="0" xfId="0" applyFill="1" applyBorder="1" applyAlignment="1" applyProtection="1">
      <protection hidden="1"/>
    </xf>
    <xf numFmtId="0" fontId="0" fillId="9" borderId="0" xfId="0" applyFont="1" applyFill="1" applyBorder="1" applyAlignment="1" applyProtection="1">
      <protection hidden="1"/>
    </xf>
    <xf numFmtId="0" fontId="0" fillId="18" borderId="0" xfId="0" applyFont="1" applyFill="1" applyBorder="1" applyAlignment="1" applyProtection="1">
      <protection hidden="1"/>
    </xf>
    <xf numFmtId="0" fontId="0" fillId="17" borderId="11" xfId="0" applyFill="1" applyBorder="1" applyProtection="1">
      <protection hidden="1"/>
    </xf>
    <xf numFmtId="0" fontId="0" fillId="6" borderId="9" xfId="0" applyFill="1" applyBorder="1" applyAlignment="1" applyProtection="1">
      <alignment horizontal="right"/>
      <protection hidden="1"/>
    </xf>
    <xf numFmtId="3" fontId="0" fillId="19" borderId="50" xfId="0" applyNumberFormat="1" applyFill="1" applyBorder="1" applyAlignment="1" applyProtection="1">
      <alignment horizontal="right"/>
      <protection hidden="1"/>
    </xf>
    <xf numFmtId="3" fontId="0" fillId="6" borderId="50" xfId="0" applyNumberFormat="1" applyFill="1" applyBorder="1" applyAlignment="1" applyProtection="1">
      <alignment horizontal="right"/>
      <protection hidden="1"/>
    </xf>
    <xf numFmtId="165" fontId="0" fillId="18" borderId="55" xfId="0" applyNumberFormat="1" applyFill="1" applyBorder="1" applyProtection="1">
      <protection hidden="1"/>
    </xf>
    <xf numFmtId="165" fontId="0" fillId="6" borderId="56" xfId="0" applyNumberFormat="1" applyFill="1" applyBorder="1" applyAlignment="1" applyProtection="1">
      <alignment horizontal="right"/>
      <protection hidden="1"/>
    </xf>
    <xf numFmtId="165" fontId="0" fillId="6" borderId="58" xfId="0" applyNumberFormat="1" applyFill="1" applyBorder="1" applyAlignment="1" applyProtection="1">
      <alignment horizontal="right"/>
      <protection hidden="1"/>
    </xf>
    <xf numFmtId="165" fontId="0" fillId="17" borderId="55" xfId="0" applyNumberFormat="1" applyFill="1" applyBorder="1" applyProtection="1">
      <protection hidden="1"/>
    </xf>
    <xf numFmtId="165" fontId="0" fillId="17" borderId="59" xfId="0" applyNumberFormat="1" applyFill="1" applyBorder="1" applyProtection="1">
      <protection hidden="1"/>
    </xf>
    <xf numFmtId="165" fontId="0" fillId="6" borderId="60" xfId="0" applyNumberFormat="1" applyFill="1" applyBorder="1" applyAlignment="1" applyProtection="1">
      <alignment horizontal="right"/>
      <protection hidden="1"/>
    </xf>
    <xf numFmtId="0" fontId="0" fillId="17" borderId="55" xfId="0" applyFill="1" applyBorder="1" applyProtection="1">
      <protection hidden="1"/>
    </xf>
    <xf numFmtId="3" fontId="0" fillId="6" borderId="39" xfId="0" applyNumberFormat="1" applyFill="1" applyBorder="1" applyAlignment="1" applyProtection="1">
      <alignment horizontal="right"/>
      <protection hidden="1"/>
    </xf>
    <xf numFmtId="3" fontId="0" fillId="17" borderId="55" xfId="0" applyNumberFormat="1" applyFont="1" applyFill="1" applyBorder="1" applyProtection="1">
      <protection hidden="1"/>
    </xf>
    <xf numFmtId="0" fontId="0" fillId="5" borderId="28" xfId="0" applyFill="1" applyBorder="1" applyAlignment="1" applyProtection="1">
      <alignment horizontal="right"/>
      <protection hidden="1"/>
    </xf>
    <xf numFmtId="0" fontId="2" fillId="19" borderId="59" xfId="0" applyFont="1" applyFill="1" applyBorder="1" applyAlignment="1" applyProtection="1">
      <alignment horizontal="right"/>
      <protection hidden="1"/>
    </xf>
    <xf numFmtId="0" fontId="1" fillId="6" borderId="29" xfId="0" applyFont="1" applyFill="1" applyBorder="1" applyAlignment="1" applyProtection="1">
      <alignment horizontal="right"/>
      <protection hidden="1"/>
    </xf>
    <xf numFmtId="3" fontId="2" fillId="19" borderId="62" xfId="0" applyNumberFormat="1" applyFont="1" applyFill="1" applyBorder="1" applyAlignment="1" applyProtection="1">
      <alignment horizontal="right"/>
      <protection hidden="1"/>
    </xf>
    <xf numFmtId="3" fontId="2" fillId="19" borderId="58" xfId="0" applyNumberFormat="1" applyFont="1" applyFill="1" applyBorder="1" applyAlignment="1" applyProtection="1">
      <alignment horizontal="right"/>
      <protection hidden="1"/>
    </xf>
    <xf numFmtId="3" fontId="2" fillId="19" borderId="60" xfId="0" applyNumberFormat="1" applyFont="1" applyFill="1" applyBorder="1" applyAlignment="1" applyProtection="1">
      <alignment horizontal="right"/>
      <protection hidden="1"/>
    </xf>
    <xf numFmtId="3" fontId="2" fillId="19" borderId="50" xfId="0" applyNumberFormat="1" applyFont="1" applyFill="1" applyBorder="1" applyAlignment="1" applyProtection="1">
      <alignment horizontal="right"/>
      <protection hidden="1"/>
    </xf>
    <xf numFmtId="3" fontId="0" fillId="7" borderId="52" xfId="0" applyNumberFormat="1" applyFill="1" applyBorder="1" applyAlignment="1" applyProtection="1">
      <alignment horizontal="right"/>
      <protection hidden="1"/>
    </xf>
    <xf numFmtId="0" fontId="2" fillId="6" borderId="59" xfId="0" applyFont="1" applyFill="1" applyBorder="1" applyAlignment="1" applyProtection="1">
      <alignment horizontal="right"/>
      <protection hidden="1"/>
    </xf>
    <xf numFmtId="164" fontId="0" fillId="19" borderId="50" xfId="0" applyNumberFormat="1" applyFill="1" applyBorder="1" applyProtection="1">
      <protection hidden="1"/>
    </xf>
    <xf numFmtId="164" fontId="0" fillId="7" borderId="52" xfId="0" applyNumberFormat="1" applyFill="1" applyBorder="1" applyProtection="1">
      <protection hidden="1"/>
    </xf>
    <xf numFmtId="0" fontId="0" fillId="5" borderId="44" xfId="0" applyFill="1" applyBorder="1" applyAlignment="1" applyProtection="1">
      <alignment horizontal="right"/>
      <protection hidden="1"/>
    </xf>
    <xf numFmtId="0" fontId="0" fillId="5" borderId="45" xfId="0" applyFill="1" applyBorder="1" applyAlignment="1">
      <alignment horizontal="right" vertical="center"/>
    </xf>
    <xf numFmtId="0" fontId="0" fillId="17" borderId="55" xfId="0" applyFill="1" applyBorder="1" applyAlignment="1" applyProtection="1">
      <alignment horizontal="center"/>
      <protection hidden="1"/>
    </xf>
    <xf numFmtId="0" fontId="3" fillId="17" borderId="14" xfId="0" applyFont="1" applyFill="1" applyBorder="1" applyProtection="1">
      <protection hidden="1"/>
    </xf>
    <xf numFmtId="0" fontId="3" fillId="17" borderId="14" xfId="0" applyFont="1" applyFill="1" applyBorder="1" applyAlignment="1" applyProtection="1">
      <alignment horizontal="right"/>
      <protection hidden="1"/>
    </xf>
    <xf numFmtId="0" fontId="2" fillId="17" borderId="14" xfId="0" applyFont="1" applyFill="1" applyBorder="1" applyAlignment="1" applyProtection="1">
      <alignment horizontal="right"/>
      <protection hidden="1"/>
    </xf>
    <xf numFmtId="0" fontId="0" fillId="16" borderId="13" xfId="0" applyFill="1" applyBorder="1" applyAlignment="1" applyProtection="1">
      <alignment horizontal="right"/>
      <protection hidden="1"/>
    </xf>
    <xf numFmtId="0" fontId="0" fillId="17" borderId="14" xfId="0" applyFill="1" applyBorder="1" applyProtection="1">
      <protection hidden="1"/>
    </xf>
    <xf numFmtId="0" fontId="0" fillId="16" borderId="22" xfId="0" applyFont="1" applyFill="1" applyBorder="1" applyAlignment="1" applyProtection="1">
      <alignment shrinkToFit="1"/>
      <protection hidden="1"/>
    </xf>
    <xf numFmtId="3" fontId="0" fillId="17" borderId="30" xfId="0" applyNumberFormat="1" applyFill="1" applyBorder="1" applyProtection="1">
      <protection hidden="1"/>
    </xf>
    <xf numFmtId="0" fontId="2" fillId="17" borderId="30" xfId="0" applyFont="1" applyFill="1" applyBorder="1" applyProtection="1">
      <protection hidden="1"/>
    </xf>
    <xf numFmtId="0" fontId="2" fillId="17" borderId="30" xfId="0" applyFont="1" applyFill="1" applyBorder="1" applyAlignment="1" applyProtection="1">
      <alignment horizontal="right"/>
      <protection hidden="1"/>
    </xf>
    <xf numFmtId="0" fontId="2" fillId="6" borderId="16" xfId="0" applyFont="1" applyFill="1" applyBorder="1" applyAlignment="1" applyProtection="1">
      <alignment horizontal="right"/>
      <protection hidden="1"/>
    </xf>
    <xf numFmtId="0" fontId="2" fillId="6" borderId="62" xfId="0" applyFont="1" applyFill="1" applyBorder="1" applyAlignment="1" applyProtection="1">
      <alignment horizontal="right"/>
      <protection hidden="1"/>
    </xf>
    <xf numFmtId="0" fontId="0" fillId="6" borderId="36" xfId="0" applyFill="1" applyBorder="1" applyAlignment="1" applyProtection="1">
      <alignment horizontal="right"/>
      <protection hidden="1"/>
    </xf>
    <xf numFmtId="0" fontId="0" fillId="16" borderId="24" xfId="0" applyFont="1" applyFill="1" applyBorder="1" applyAlignment="1" applyProtection="1">
      <alignment shrinkToFit="1"/>
      <protection hidden="1"/>
    </xf>
    <xf numFmtId="3" fontId="0" fillId="17" borderId="31" xfId="0" applyNumberFormat="1" applyFill="1" applyBorder="1" applyProtection="1">
      <protection hidden="1"/>
    </xf>
    <xf numFmtId="0" fontId="2" fillId="17" borderId="31" xfId="0" applyFont="1" applyFill="1" applyBorder="1" applyProtection="1">
      <protection hidden="1"/>
    </xf>
    <xf numFmtId="0" fontId="2" fillId="17" borderId="31" xfId="0" applyFont="1" applyFill="1" applyBorder="1" applyAlignment="1" applyProtection="1">
      <alignment horizontal="right"/>
      <protection hidden="1"/>
    </xf>
    <xf numFmtId="0" fontId="2" fillId="6" borderId="17" xfId="0" applyFont="1" applyFill="1" applyBorder="1" applyAlignment="1" applyProtection="1">
      <alignment horizontal="right"/>
      <protection hidden="1"/>
    </xf>
    <xf numFmtId="0" fontId="2" fillId="6" borderId="58" xfId="0" applyFont="1" applyFill="1" applyBorder="1" applyAlignment="1" applyProtection="1">
      <alignment horizontal="right"/>
      <protection hidden="1"/>
    </xf>
    <xf numFmtId="0" fontId="0" fillId="6" borderId="34" xfId="0" applyFill="1" applyBorder="1" applyAlignment="1" applyProtection="1">
      <alignment horizontal="right"/>
      <protection hidden="1"/>
    </xf>
    <xf numFmtId="0" fontId="0" fillId="2" borderId="24" xfId="0" applyFill="1" applyBorder="1" applyAlignment="1" applyProtection="1">
      <alignment shrinkToFit="1"/>
      <protection hidden="1"/>
    </xf>
    <xf numFmtId="0" fontId="0" fillId="2" borderId="26" xfId="0" applyFill="1" applyBorder="1" applyAlignment="1" applyProtection="1">
      <alignment shrinkToFit="1"/>
      <protection hidden="1"/>
    </xf>
    <xf numFmtId="3" fontId="0" fillId="17" borderId="32" xfId="0" applyNumberFormat="1" applyFill="1" applyBorder="1" applyProtection="1">
      <protection hidden="1"/>
    </xf>
    <xf numFmtId="0" fontId="2" fillId="17" borderId="32" xfId="0" applyFont="1" applyFill="1" applyBorder="1" applyProtection="1">
      <protection hidden="1"/>
    </xf>
    <xf numFmtId="0" fontId="2" fillId="17" borderId="32" xfId="0" applyFont="1" applyFill="1" applyBorder="1" applyAlignment="1" applyProtection="1">
      <alignment horizontal="right"/>
      <protection hidden="1"/>
    </xf>
    <xf numFmtId="0" fontId="2" fillId="6" borderId="18" xfId="0" applyFont="1" applyFill="1" applyBorder="1" applyAlignment="1" applyProtection="1">
      <alignment horizontal="right"/>
      <protection hidden="1"/>
    </xf>
    <xf numFmtId="0" fontId="2" fillId="6" borderId="60" xfId="0" applyFont="1" applyFill="1" applyBorder="1" applyAlignment="1" applyProtection="1">
      <alignment horizontal="right"/>
      <protection hidden="1"/>
    </xf>
    <xf numFmtId="0" fontId="0" fillId="6" borderId="35" xfId="0" applyFill="1" applyBorder="1" applyAlignment="1" applyProtection="1">
      <alignment horizontal="right"/>
      <protection hidden="1"/>
    </xf>
    <xf numFmtId="0" fontId="0" fillId="6" borderId="50" xfId="0" applyFill="1" applyBorder="1" applyAlignment="1" applyProtection="1">
      <alignment horizontal="right"/>
      <protection hidden="1"/>
    </xf>
    <xf numFmtId="0" fontId="2" fillId="6" borderId="52" xfId="0" applyFont="1" applyFill="1" applyBorder="1" applyAlignment="1" applyProtection="1">
      <alignment horizontal="right"/>
      <protection hidden="1"/>
    </xf>
    <xf numFmtId="0" fontId="2" fillId="2" borderId="13" xfId="0" applyFont="1" applyFill="1" applyBorder="1" applyProtection="1">
      <protection hidden="1"/>
    </xf>
    <xf numFmtId="0" fontId="0" fillId="7" borderId="15" xfId="0" applyFill="1" applyBorder="1" applyAlignment="1" applyProtection="1">
      <alignment horizontal="right"/>
      <protection hidden="1"/>
    </xf>
    <xf numFmtId="0" fontId="2" fillId="17" borderId="55" xfId="0" applyFont="1" applyFill="1" applyBorder="1" applyProtection="1">
      <protection hidden="1"/>
    </xf>
    <xf numFmtId="166" fontId="0" fillId="2" borderId="0" xfId="0" applyNumberFormat="1" applyFill="1" applyBorder="1" applyAlignment="1" applyProtection="1">
      <alignment horizontal="center"/>
      <protection hidden="1"/>
    </xf>
    <xf numFmtId="0" fontId="0" fillId="7" borderId="45" xfId="0" applyNumberFormat="1" applyFont="1" applyFill="1" applyBorder="1" applyAlignment="1" applyProtection="1">
      <alignment horizontal="right"/>
      <protection hidden="1"/>
    </xf>
    <xf numFmtId="167" fontId="2" fillId="6" borderId="62" xfId="0" applyNumberFormat="1" applyFont="1" applyFill="1" applyBorder="1" applyAlignment="1" applyProtection="1">
      <alignment horizontal="right"/>
      <protection hidden="1"/>
    </xf>
    <xf numFmtId="167" fontId="2" fillId="6" borderId="58" xfId="0" applyNumberFormat="1" applyFont="1" applyFill="1" applyBorder="1" applyAlignment="1" applyProtection="1">
      <alignment horizontal="right"/>
      <protection hidden="1"/>
    </xf>
    <xf numFmtId="167" fontId="2" fillId="6" borderId="60" xfId="0" applyNumberFormat="1" applyFont="1" applyFill="1" applyBorder="1" applyAlignment="1" applyProtection="1">
      <alignment horizontal="right"/>
      <protection hidden="1"/>
    </xf>
    <xf numFmtId="167" fontId="0" fillId="6" borderId="39" xfId="0" applyNumberFormat="1" applyFill="1" applyBorder="1" applyAlignment="1" applyProtection="1">
      <alignment horizontal="right"/>
      <protection hidden="1"/>
    </xf>
    <xf numFmtId="167" fontId="0" fillId="6" borderId="40" xfId="0" applyNumberFormat="1" applyFill="1" applyBorder="1" applyAlignment="1" applyProtection="1">
      <alignment horizontal="right"/>
      <protection hidden="1"/>
    </xf>
    <xf numFmtId="167" fontId="0" fillId="6" borderId="41" xfId="0" applyNumberFormat="1" applyFill="1" applyBorder="1" applyAlignment="1" applyProtection="1">
      <alignment horizontal="right"/>
      <protection hidden="1"/>
    </xf>
    <xf numFmtId="0" fontId="0" fillId="9" borderId="0" xfId="0" applyFill="1"/>
    <xf numFmtId="0" fontId="6" fillId="22" borderId="0" xfId="0" applyFont="1" applyFill="1" applyAlignment="1"/>
    <xf numFmtId="0" fontId="6" fillId="22" borderId="0" xfId="0" applyFont="1" applyFill="1"/>
    <xf numFmtId="0" fontId="6" fillId="22" borderId="0" xfId="0" applyFont="1" applyFill="1" applyAlignment="1">
      <alignment horizontal="right"/>
    </xf>
    <xf numFmtId="0" fontId="9" fillId="23" borderId="0" xfId="0" applyFont="1" applyFill="1" applyBorder="1" applyAlignment="1" applyProtection="1">
      <alignment shrinkToFit="1"/>
      <protection hidden="1"/>
    </xf>
    <xf numFmtId="0" fontId="21" fillId="2" borderId="0" xfId="0" applyFont="1" applyFill="1" applyBorder="1" applyAlignment="1" applyProtection="1">
      <alignment horizontal="right"/>
      <protection hidden="1"/>
    </xf>
    <xf numFmtId="3" fontId="0" fillId="7" borderId="50" xfId="0" applyNumberFormat="1" applyFont="1" applyFill="1" applyBorder="1" applyAlignment="1" applyProtection="1">
      <alignment horizontal="right"/>
      <protection hidden="1"/>
    </xf>
    <xf numFmtId="0" fontId="0" fillId="2" borderId="0" xfId="0" applyFill="1" applyBorder="1" applyAlignment="1" applyProtection="1">
      <alignment horizontal="center"/>
      <protection hidden="1"/>
    </xf>
    <xf numFmtId="0" fontId="2" fillId="6" borderId="50" xfId="0" applyFont="1" applyFill="1" applyBorder="1" applyAlignment="1" applyProtection="1">
      <alignment horizontal="right"/>
      <protection hidden="1"/>
    </xf>
    <xf numFmtId="3" fontId="0" fillId="6" borderId="50" xfId="0" applyNumberFormat="1" applyFill="1" applyBorder="1" applyAlignment="1" applyProtection="1">
      <alignment horizontal="right"/>
      <protection hidden="1"/>
    </xf>
    <xf numFmtId="164" fontId="0" fillId="15" borderId="0" xfId="0" applyNumberFormat="1" applyFill="1" applyBorder="1" applyAlignment="1" applyProtection="1">
      <alignment horizontal="right"/>
      <protection hidden="1"/>
    </xf>
    <xf numFmtId="0" fontId="1" fillId="2" borderId="0" xfId="0" applyFont="1" applyFill="1" applyBorder="1" applyAlignment="1" applyProtection="1">
      <alignment horizontal="left"/>
      <protection hidden="1"/>
    </xf>
    <xf numFmtId="3" fontId="0" fillId="5" borderId="16" xfId="0" applyNumberFormat="1" applyFill="1" applyBorder="1" applyAlignment="1" applyProtection="1">
      <alignment horizontal="right"/>
      <protection locked="0" hidden="1"/>
    </xf>
    <xf numFmtId="3" fontId="0" fillId="5" borderId="17" xfId="0" applyNumberFormat="1" applyFill="1" applyBorder="1" applyAlignment="1" applyProtection="1">
      <alignment horizontal="right"/>
      <protection locked="0" hidden="1"/>
    </xf>
    <xf numFmtId="3" fontId="0" fillId="5" borderId="18" xfId="0" applyNumberFormat="1" applyFill="1" applyBorder="1" applyAlignment="1" applyProtection="1">
      <alignment horizontal="right"/>
      <protection locked="0" hidden="1"/>
    </xf>
    <xf numFmtId="0" fontId="0" fillId="3" borderId="3" xfId="0" applyFill="1" applyBorder="1" applyAlignment="1" applyProtection="1">
      <alignment horizontal="right"/>
      <protection locked="0" hidden="1"/>
    </xf>
    <xf numFmtId="0" fontId="0" fillId="3" borderId="38" xfId="0" applyFill="1" applyBorder="1" applyAlignment="1" applyProtection="1">
      <alignment horizontal="right"/>
      <protection locked="0" hidden="1"/>
    </xf>
    <xf numFmtId="0" fontId="0" fillId="3" borderId="5" xfId="0" applyNumberFormat="1" applyFill="1" applyBorder="1" applyAlignment="1" applyProtection="1">
      <alignment horizontal="right"/>
      <protection locked="0" hidden="1"/>
    </xf>
    <xf numFmtId="0" fontId="0" fillId="3" borderId="43" xfId="0" applyFill="1" applyBorder="1" applyAlignment="1" applyProtection="1">
      <alignment horizontal="right"/>
      <protection locked="0" hidden="1"/>
    </xf>
    <xf numFmtId="0" fontId="0" fillId="3" borderId="7" xfId="0" applyFill="1" applyBorder="1" applyAlignment="1" applyProtection="1">
      <alignment horizontal="right"/>
      <protection locked="0" hidden="1"/>
    </xf>
    <xf numFmtId="3" fontId="0" fillId="5" borderId="3" xfId="0" applyNumberFormat="1" applyFill="1" applyBorder="1" applyAlignment="1" applyProtection="1">
      <alignment horizontal="right"/>
      <protection locked="0" hidden="1"/>
    </xf>
    <xf numFmtId="0" fontId="0" fillId="5" borderId="3" xfId="0" applyFill="1" applyBorder="1" applyAlignment="1" applyProtection="1">
      <alignment horizontal="right"/>
      <protection locked="0" hidden="1"/>
    </xf>
    <xf numFmtId="0" fontId="0" fillId="5" borderId="7" xfId="0" applyFill="1" applyBorder="1" applyAlignment="1" applyProtection="1">
      <alignment horizontal="right"/>
      <protection locked="0" hidden="1"/>
    </xf>
    <xf numFmtId="3" fontId="0" fillId="5" borderId="45" xfId="0" applyNumberFormat="1" applyFont="1" applyFill="1" applyBorder="1" applyAlignment="1" applyProtection="1">
      <alignment horizontal="right"/>
      <protection locked="0" hidden="1"/>
    </xf>
    <xf numFmtId="3" fontId="0" fillId="5" borderId="50" xfId="0" applyNumberFormat="1" applyFont="1" applyFill="1" applyBorder="1" applyAlignment="1" applyProtection="1">
      <alignment horizontal="right"/>
      <protection locked="0" hidden="1"/>
    </xf>
    <xf numFmtId="3" fontId="0" fillId="19" borderId="55" xfId="0" applyNumberFormat="1" applyFont="1" applyFill="1" applyBorder="1" applyProtection="1">
      <protection locked="0" hidden="1"/>
    </xf>
    <xf numFmtId="3" fontId="0" fillId="5" borderId="50" xfId="0" applyNumberFormat="1" applyFont="1" applyFill="1" applyBorder="1" applyAlignment="1" applyProtection="1">
      <alignment horizontal="right"/>
      <protection locked="0" hidden="1"/>
    </xf>
    <xf numFmtId="0" fontId="0" fillId="5" borderId="16" xfId="0" applyFill="1" applyBorder="1" applyProtection="1">
      <protection locked="0" hidden="1"/>
    </xf>
    <xf numFmtId="0" fontId="0" fillId="5" borderId="18" xfId="0" applyFill="1" applyBorder="1" applyProtection="1">
      <protection locked="0" hidden="1"/>
    </xf>
    <xf numFmtId="0" fontId="0" fillId="5" borderId="36" xfId="0" applyFill="1" applyBorder="1" applyAlignment="1" applyProtection="1">
      <protection locked="0" hidden="1"/>
    </xf>
    <xf numFmtId="0" fontId="0" fillId="5" borderId="29" xfId="0" applyFill="1" applyBorder="1" applyAlignment="1" applyProtection="1">
      <alignment horizontal="right"/>
      <protection locked="0" hidden="1"/>
    </xf>
    <xf numFmtId="0" fontId="0" fillId="3" borderId="43" xfId="0" applyNumberFormat="1" applyFill="1" applyBorder="1" applyAlignment="1" applyProtection="1">
      <alignment horizontal="right"/>
      <protection locked="0" hidden="1"/>
    </xf>
    <xf numFmtId="0" fontId="0" fillId="3" borderId="7" xfId="0" applyNumberFormat="1" applyFill="1" applyBorder="1" applyAlignment="1" applyProtection="1">
      <alignment horizontal="right"/>
      <protection locked="0" hidden="1"/>
    </xf>
    <xf numFmtId="0" fontId="0" fillId="5" borderId="30" xfId="0" applyFill="1" applyBorder="1" applyProtection="1">
      <protection locked="0" hidden="1"/>
    </xf>
    <xf numFmtId="0" fontId="0" fillId="5" borderId="31" xfId="0" applyFill="1" applyBorder="1" applyProtection="1">
      <protection locked="0" hidden="1"/>
    </xf>
    <xf numFmtId="0" fontId="0" fillId="5" borderId="32" xfId="0" applyFill="1" applyBorder="1" applyProtection="1">
      <protection locked="0" hidden="1"/>
    </xf>
    <xf numFmtId="0" fontId="2" fillId="20" borderId="64" xfId="0" applyFont="1" applyFill="1" applyBorder="1" applyAlignment="1" applyProtection="1">
      <alignment horizontal="right"/>
      <protection locked="0" hidden="1"/>
    </xf>
    <xf numFmtId="3" fontId="0" fillId="6" borderId="34" xfId="0" applyNumberFormat="1" applyFill="1" applyBorder="1" applyAlignment="1" applyProtection="1">
      <alignment horizontal="right"/>
      <protection hidden="1"/>
    </xf>
    <xf numFmtId="0" fontId="0" fillId="19" borderId="49" xfId="0" applyFill="1" applyBorder="1" applyAlignment="1" applyProtection="1">
      <alignment horizontal="right"/>
      <protection hidden="1"/>
    </xf>
    <xf numFmtId="0" fontId="0" fillId="2" borderId="70" xfId="0" applyFill="1" applyBorder="1" applyProtection="1">
      <protection hidden="1"/>
    </xf>
    <xf numFmtId="0" fontId="0" fillId="2" borderId="71" xfId="0" applyFill="1" applyBorder="1" applyProtection="1">
      <protection hidden="1"/>
    </xf>
    <xf numFmtId="0" fontId="0" fillId="2" borderId="49" xfId="0" applyFill="1" applyBorder="1" applyProtection="1">
      <protection hidden="1"/>
    </xf>
    <xf numFmtId="3" fontId="0" fillId="7" borderId="44" xfId="0" applyNumberFormat="1" applyFont="1" applyFill="1" applyBorder="1" applyAlignment="1" applyProtection="1">
      <alignment horizontal="right"/>
      <protection hidden="1"/>
    </xf>
    <xf numFmtId="3" fontId="0" fillId="5" borderId="44" xfId="0" applyNumberFormat="1" applyFont="1" applyFill="1" applyBorder="1" applyAlignment="1" applyProtection="1">
      <alignment horizontal="right"/>
      <protection locked="0" hidden="1"/>
    </xf>
    <xf numFmtId="0" fontId="0" fillId="2" borderId="14" xfId="0" applyFill="1" applyBorder="1" applyProtection="1">
      <protection hidden="1"/>
    </xf>
    <xf numFmtId="0" fontId="0" fillId="4" borderId="72" xfId="0" applyFill="1" applyBorder="1" applyAlignment="1" applyProtection="1">
      <alignment shrinkToFit="1"/>
      <protection hidden="1"/>
    </xf>
    <xf numFmtId="0" fontId="0" fillId="4" borderId="31" xfId="0" applyFill="1" applyBorder="1" applyAlignment="1" applyProtection="1">
      <alignment shrinkToFit="1"/>
      <protection hidden="1"/>
    </xf>
    <xf numFmtId="0" fontId="0" fillId="4" borderId="32" xfId="0" applyFill="1" applyBorder="1" applyAlignment="1" applyProtection="1">
      <alignment shrinkToFit="1"/>
      <protection hidden="1"/>
    </xf>
    <xf numFmtId="0" fontId="0" fillId="7" borderId="44" xfId="0" applyNumberFormat="1" applyFont="1" applyFill="1" applyBorder="1" applyAlignment="1" applyProtection="1">
      <alignment horizontal="right"/>
      <protection hidden="1"/>
    </xf>
    <xf numFmtId="0" fontId="2" fillId="19" borderId="73" xfId="0" applyFont="1" applyFill="1" applyBorder="1" applyAlignment="1" applyProtection="1">
      <alignment horizontal="right"/>
      <protection hidden="1"/>
    </xf>
    <xf numFmtId="0" fontId="0" fillId="6" borderId="74" xfId="0" applyFill="1" applyBorder="1" applyAlignment="1" applyProtection="1">
      <alignment horizontal="right"/>
      <protection hidden="1"/>
    </xf>
    <xf numFmtId="0" fontId="2" fillId="6" borderId="75" xfId="0" applyFont="1" applyFill="1" applyBorder="1" applyAlignment="1" applyProtection="1">
      <alignment horizontal="right"/>
      <protection hidden="1"/>
    </xf>
    <xf numFmtId="0" fontId="2" fillId="6" borderId="76" xfId="0" applyFont="1" applyFill="1" applyBorder="1" applyAlignment="1" applyProtection="1">
      <alignment horizontal="right"/>
      <protection hidden="1"/>
    </xf>
    <xf numFmtId="0" fontId="2" fillId="6" borderId="77" xfId="0" applyFont="1" applyFill="1" applyBorder="1" applyAlignment="1" applyProtection="1">
      <alignment horizontal="right"/>
      <protection hidden="1"/>
    </xf>
    <xf numFmtId="0" fontId="2" fillId="6" borderId="0" xfId="0" applyFont="1" applyFill="1" applyBorder="1" applyAlignment="1" applyProtection="1">
      <alignment horizontal="right"/>
      <protection hidden="1"/>
    </xf>
    <xf numFmtId="164" fontId="0" fillId="6" borderId="0" xfId="0" applyNumberFormat="1" applyFill="1" applyBorder="1" applyAlignment="1" applyProtection="1">
      <alignment horizontal="right"/>
      <protection hidden="1"/>
    </xf>
    <xf numFmtId="164" fontId="0" fillId="7" borderId="0" xfId="0" applyNumberFormat="1" applyFill="1" applyBorder="1" applyProtection="1">
      <protection hidden="1"/>
    </xf>
    <xf numFmtId="3" fontId="0" fillId="6" borderId="55" xfId="0" applyNumberFormat="1" applyFill="1" applyBorder="1" applyAlignment="1" applyProtection="1">
      <alignment horizontal="right"/>
      <protection hidden="1"/>
    </xf>
    <xf numFmtId="0" fontId="0" fillId="6" borderId="0" xfId="0" applyFill="1" applyBorder="1" applyAlignment="1" applyProtection="1">
      <alignment horizontal="right"/>
      <protection hidden="1"/>
    </xf>
    <xf numFmtId="0" fontId="0" fillId="16" borderId="0" xfId="0" applyFill="1" applyBorder="1" applyAlignment="1" applyProtection="1">
      <alignment wrapText="1"/>
      <protection hidden="1"/>
    </xf>
    <xf numFmtId="0" fontId="2" fillId="6" borderId="33" xfId="0" applyFont="1" applyFill="1" applyBorder="1" applyAlignment="1" applyProtection="1">
      <alignment horizontal="right"/>
      <protection hidden="1"/>
    </xf>
    <xf numFmtId="0" fontId="0" fillId="6" borderId="78" xfId="0" applyFill="1" applyBorder="1" applyAlignment="1" applyProtection="1">
      <alignment horizontal="right"/>
      <protection hidden="1"/>
    </xf>
    <xf numFmtId="3" fontId="0" fillId="6" borderId="75" xfId="0" applyNumberFormat="1" applyFill="1" applyBorder="1" applyAlignment="1" applyProtection="1">
      <alignment horizontal="right"/>
      <protection hidden="1"/>
    </xf>
    <xf numFmtId="3" fontId="0" fillId="6" borderId="76" xfId="0" applyNumberFormat="1" applyFill="1" applyBorder="1" applyAlignment="1" applyProtection="1">
      <alignment horizontal="right"/>
      <protection hidden="1"/>
    </xf>
    <xf numFmtId="3" fontId="0" fillId="6" borderId="77" xfId="0" applyNumberFormat="1" applyFill="1" applyBorder="1" applyAlignment="1" applyProtection="1">
      <alignment horizontal="right"/>
      <protection hidden="1"/>
    </xf>
    <xf numFmtId="3" fontId="0" fillId="7" borderId="74" xfId="0" applyNumberFormat="1" applyFill="1" applyBorder="1" applyAlignment="1" applyProtection="1">
      <alignment horizontal="right"/>
      <protection hidden="1"/>
    </xf>
    <xf numFmtId="0" fontId="0" fillId="24" borderId="0" xfId="0" applyFill="1" applyProtection="1"/>
    <xf numFmtId="0" fontId="0" fillId="24" borderId="0" xfId="0" applyFill="1" applyAlignment="1" applyProtection="1">
      <alignment horizontal="right"/>
    </xf>
    <xf numFmtId="0" fontId="0" fillId="2" borderId="0" xfId="0" applyFill="1" applyBorder="1" applyAlignment="1" applyProtection="1">
      <alignment horizontal="left" vertical="top" wrapText="1"/>
      <protection hidden="1"/>
    </xf>
    <xf numFmtId="3" fontId="0" fillId="7" borderId="50" xfId="0" applyNumberFormat="1" applyFont="1" applyFill="1" applyBorder="1" applyAlignment="1" applyProtection="1">
      <alignment horizontal="right"/>
      <protection hidden="1"/>
    </xf>
    <xf numFmtId="3" fontId="0" fillId="7" borderId="52" xfId="0" applyNumberFormat="1" applyFont="1" applyFill="1" applyBorder="1" applyAlignment="1" applyProtection="1">
      <alignment horizontal="right"/>
      <protection hidden="1"/>
    </xf>
    <xf numFmtId="0" fontId="16" fillId="2" borderId="63" xfId="0" applyFont="1" applyFill="1" applyBorder="1" applyAlignment="1" applyProtection="1">
      <alignment horizontal="center" vertical="center" textRotation="90"/>
      <protection hidden="1"/>
    </xf>
    <xf numFmtId="0" fontId="16" fillId="2" borderId="24" xfId="0" applyFont="1" applyFill="1" applyBorder="1" applyAlignment="1" applyProtection="1">
      <alignment horizontal="center" vertical="center" textRotation="90"/>
      <protection hidden="1"/>
    </xf>
    <xf numFmtId="0" fontId="16" fillId="2" borderId="26" xfId="0" applyFont="1" applyFill="1" applyBorder="1" applyAlignment="1" applyProtection="1">
      <alignment horizontal="center" vertical="center" textRotation="90"/>
      <protection hidden="1"/>
    </xf>
    <xf numFmtId="0" fontId="0" fillId="19" borderId="0" xfId="0" applyFill="1" applyBorder="1" applyAlignment="1" applyProtection="1">
      <alignment horizontal="left"/>
      <protection hidden="1"/>
    </xf>
    <xf numFmtId="0" fontId="0" fillId="2" borderId="0" xfId="0" applyFill="1" applyBorder="1" applyAlignment="1" applyProtection="1">
      <alignment horizontal="center"/>
      <protection hidden="1"/>
    </xf>
    <xf numFmtId="0" fontId="0" fillId="2" borderId="0" xfId="0" applyFont="1" applyFill="1" applyBorder="1" applyAlignment="1" applyProtection="1">
      <alignment horizontal="center"/>
      <protection hidden="1"/>
    </xf>
    <xf numFmtId="3" fontId="0" fillId="5" borderId="50" xfId="0" applyNumberFormat="1" applyFont="1" applyFill="1" applyBorder="1" applyAlignment="1" applyProtection="1">
      <alignment horizontal="right"/>
      <protection locked="0" hidden="1"/>
    </xf>
    <xf numFmtId="3" fontId="0" fillId="5" borderId="52" xfId="0" applyNumberFormat="1" applyFont="1" applyFill="1" applyBorder="1" applyAlignment="1" applyProtection="1">
      <alignment horizontal="right"/>
      <protection locked="0" hidden="1"/>
    </xf>
    <xf numFmtId="0" fontId="2" fillId="21" borderId="65" xfId="0" applyFont="1" applyFill="1" applyBorder="1" applyAlignment="1" applyProtection="1">
      <alignment horizontal="left" vertical="center" wrapText="1"/>
      <protection hidden="1"/>
    </xf>
    <xf numFmtId="0" fontId="2" fillId="21" borderId="66" xfId="0" applyFont="1" applyFill="1" applyBorder="1" applyAlignment="1" applyProtection="1">
      <alignment horizontal="left" vertical="center" wrapText="1"/>
      <protection hidden="1"/>
    </xf>
    <xf numFmtId="0" fontId="2" fillId="21" borderId="67" xfId="0" applyFont="1" applyFill="1" applyBorder="1" applyAlignment="1" applyProtection="1">
      <alignment horizontal="left" vertical="center" wrapText="1"/>
      <protection hidden="1"/>
    </xf>
    <xf numFmtId="0" fontId="2" fillId="21" borderId="68" xfId="0" applyFont="1" applyFill="1" applyBorder="1" applyAlignment="1" applyProtection="1">
      <alignment horizontal="left" vertical="center" wrapText="1"/>
      <protection hidden="1"/>
    </xf>
    <xf numFmtId="0" fontId="2" fillId="21" borderId="69" xfId="0" applyFont="1" applyFill="1" applyBorder="1" applyAlignment="1" applyProtection="1">
      <alignment horizontal="left" vertical="center" wrapText="1"/>
      <protection hidden="1"/>
    </xf>
    <xf numFmtId="3" fontId="0" fillId="7" borderId="50" xfId="0" applyNumberFormat="1" applyFill="1" applyBorder="1" applyAlignment="1" applyProtection="1">
      <alignment horizontal="center"/>
      <protection hidden="1"/>
    </xf>
    <xf numFmtId="0" fontId="0" fillId="7" borderId="52" xfId="0" applyFill="1" applyBorder="1" applyAlignment="1" applyProtection="1">
      <alignment horizontal="center"/>
      <protection hidden="1"/>
    </xf>
    <xf numFmtId="0" fontId="1" fillId="2" borderId="49" xfId="0" applyFont="1" applyFill="1" applyBorder="1" applyAlignment="1" applyProtection="1">
      <alignment horizontal="center" vertical="center" textRotation="90" wrapText="1"/>
      <protection hidden="1"/>
    </xf>
    <xf numFmtId="0" fontId="1" fillId="2" borderId="0" xfId="0" applyFont="1" applyFill="1" applyBorder="1" applyAlignment="1" applyProtection="1">
      <alignment horizontal="center" vertical="center" textRotation="90" wrapText="1"/>
      <protection hidden="1"/>
    </xf>
    <xf numFmtId="0" fontId="1" fillId="2" borderId="11" xfId="0" applyFont="1" applyFill="1" applyBorder="1" applyAlignment="1" applyProtection="1">
      <alignment horizontal="center" vertical="center" textRotation="90" wrapText="1"/>
      <protection hidden="1"/>
    </xf>
    <xf numFmtId="3" fontId="0" fillId="6" borderId="56" xfId="0" applyNumberFormat="1" applyFill="1" applyBorder="1" applyAlignment="1" applyProtection="1">
      <alignment horizontal="right"/>
      <protection hidden="1"/>
    </xf>
    <xf numFmtId="3" fontId="0" fillId="6" borderId="57" xfId="0" applyNumberFormat="1" applyFill="1" applyBorder="1" applyAlignment="1" applyProtection="1">
      <alignment horizontal="right"/>
      <protection hidden="1"/>
    </xf>
    <xf numFmtId="3" fontId="0" fillId="6" borderId="58" xfId="0" applyNumberFormat="1" applyFill="1" applyBorder="1" applyAlignment="1" applyProtection="1">
      <alignment horizontal="right"/>
      <protection hidden="1"/>
    </xf>
    <xf numFmtId="3" fontId="0" fillId="6" borderId="34" xfId="0" applyNumberFormat="1" applyFill="1" applyBorder="1" applyAlignment="1" applyProtection="1">
      <alignment horizontal="right"/>
      <protection hidden="1"/>
    </xf>
    <xf numFmtId="3" fontId="0" fillId="6" borderId="61" xfId="0" applyNumberFormat="1" applyFill="1" applyBorder="1" applyAlignment="1" applyProtection="1">
      <alignment horizontal="right"/>
      <protection hidden="1"/>
    </xf>
    <xf numFmtId="3" fontId="0" fillId="6" borderId="54" xfId="0" applyNumberFormat="1" applyFill="1" applyBorder="1" applyAlignment="1" applyProtection="1">
      <alignment horizontal="right"/>
      <protection hidden="1"/>
    </xf>
    <xf numFmtId="0" fontId="2" fillId="6" borderId="50" xfId="0" applyFont="1" applyFill="1" applyBorder="1" applyAlignment="1" applyProtection="1">
      <alignment horizontal="right"/>
      <protection hidden="1"/>
    </xf>
    <xf numFmtId="0" fontId="2" fillId="6" borderId="52" xfId="0" applyFont="1" applyFill="1" applyBorder="1" applyAlignment="1" applyProtection="1">
      <alignment horizontal="right"/>
      <protection hidden="1"/>
    </xf>
    <xf numFmtId="164" fontId="0" fillId="6" borderId="58" xfId="0" applyNumberFormat="1" applyFill="1" applyBorder="1" applyAlignment="1" applyProtection="1">
      <alignment horizontal="right"/>
      <protection hidden="1"/>
    </xf>
    <xf numFmtId="164" fontId="0" fillId="6" borderId="34" xfId="0" applyNumberFormat="1" applyFill="1" applyBorder="1" applyAlignment="1" applyProtection="1">
      <alignment horizontal="right"/>
      <protection hidden="1"/>
    </xf>
    <xf numFmtId="0" fontId="13" fillId="9" borderId="0" xfId="0" applyFont="1" applyFill="1" applyBorder="1" applyAlignment="1" applyProtection="1">
      <alignment horizontal="left" vertical="center" textRotation="180" wrapText="1"/>
      <protection hidden="1"/>
    </xf>
    <xf numFmtId="0" fontId="0" fillId="17" borderId="0" xfId="0" applyFill="1" applyBorder="1" applyAlignment="1" applyProtection="1">
      <alignment horizontal="center" vertical="center" textRotation="180"/>
      <protection hidden="1"/>
    </xf>
    <xf numFmtId="166" fontId="0" fillId="9" borderId="49" xfId="0" applyNumberFormat="1" applyFill="1" applyBorder="1" applyAlignment="1">
      <alignment horizontal="center"/>
    </xf>
    <xf numFmtId="166" fontId="0" fillId="9" borderId="0" xfId="0" applyNumberFormat="1" applyFill="1" applyBorder="1" applyAlignment="1">
      <alignment horizontal="center"/>
    </xf>
    <xf numFmtId="3" fontId="0" fillId="6" borderId="50" xfId="0" applyNumberFormat="1" applyFill="1" applyBorder="1" applyAlignment="1" applyProtection="1">
      <alignment horizontal="right"/>
      <protection hidden="1"/>
    </xf>
    <xf numFmtId="3" fontId="0" fillId="6" borderId="52" xfId="0" applyNumberFormat="1" applyFill="1" applyBorder="1" applyAlignment="1" applyProtection="1">
      <alignment horizontal="right"/>
      <protection hidden="1"/>
    </xf>
    <xf numFmtId="164" fontId="0" fillId="15" borderId="0" xfId="0" applyNumberFormat="1" applyFill="1" applyBorder="1" applyAlignment="1" applyProtection="1">
      <alignment horizontal="right"/>
      <protection hidden="1"/>
    </xf>
    <xf numFmtId="164" fontId="0" fillId="6" borderId="56" xfId="0" applyNumberFormat="1" applyFill="1" applyBorder="1" applyAlignment="1" applyProtection="1">
      <alignment horizontal="right"/>
      <protection hidden="1"/>
    </xf>
    <xf numFmtId="164" fontId="0" fillId="6" borderId="57" xfId="0" applyNumberFormat="1" applyFill="1" applyBorder="1" applyAlignment="1" applyProtection="1">
      <alignment horizontal="right"/>
      <protection hidden="1"/>
    </xf>
    <xf numFmtId="164" fontId="0" fillId="6" borderId="60" xfId="0" applyNumberFormat="1" applyFill="1" applyBorder="1" applyAlignment="1" applyProtection="1">
      <alignment horizontal="right"/>
      <protection hidden="1"/>
    </xf>
    <xf numFmtId="164" fontId="0" fillId="6" borderId="35" xfId="0" applyNumberFormat="1" applyFill="1" applyBorder="1" applyAlignment="1" applyProtection="1">
      <alignment horizontal="right"/>
      <protection hidden="1"/>
    </xf>
    <xf numFmtId="0" fontId="1" fillId="2" borderId="0" xfId="0" applyFont="1" applyFill="1" applyBorder="1" applyAlignment="1" applyProtection="1">
      <alignment horizontal="left"/>
      <protection hidden="1"/>
    </xf>
    <xf numFmtId="0" fontId="7" fillId="2" borderId="0" xfId="0" applyFont="1" applyFill="1" applyBorder="1" applyAlignment="1" applyProtection="1">
      <alignment horizontal="center" vertical="center" textRotation="90" wrapText="1"/>
      <protection hidden="1"/>
    </xf>
    <xf numFmtId="0" fontId="7" fillId="2" borderId="11" xfId="0" applyFont="1" applyFill="1" applyBorder="1" applyAlignment="1" applyProtection="1">
      <alignment horizontal="center" vertical="center" textRotation="90" wrapText="1"/>
      <protection hidden="1"/>
    </xf>
    <xf numFmtId="0" fontId="2" fillId="19" borderId="0" xfId="0" applyFont="1" applyFill="1" applyBorder="1" applyAlignment="1" applyProtection="1">
      <alignment horizontal="left" vertical="center" textRotation="90" wrapText="1"/>
      <protection hidden="1"/>
    </xf>
    <xf numFmtId="0" fontId="5" fillId="2" borderId="0" xfId="0" applyFont="1" applyFill="1" applyBorder="1" applyAlignment="1" applyProtection="1">
      <alignment horizontal="left" shrinkToFit="1"/>
      <protection hidden="1"/>
    </xf>
    <xf numFmtId="0" fontId="0" fillId="9" borderId="0" xfId="0" applyFill="1" applyAlignment="1">
      <alignment horizontal="left" vertical="top" wrapText="1"/>
    </xf>
    <xf numFmtId="0" fontId="0" fillId="9" borderId="0" xfId="0" applyFill="1" applyAlignment="1">
      <alignment horizontal="left"/>
    </xf>
    <xf numFmtId="0" fontId="0" fillId="2" borderId="0" xfId="0" applyFill="1" applyBorder="1" applyAlignment="1" applyProtection="1">
      <alignment horizontal="left" vertical="center"/>
      <protection hidden="1"/>
    </xf>
    <xf numFmtId="0" fontId="0" fillId="2" borderId="0" xfId="0" applyFill="1" applyBorder="1" applyAlignment="1" applyProtection="1">
      <alignment horizontal="left" vertical="center" wrapText="1"/>
      <protection hidden="1"/>
    </xf>
    <xf numFmtId="0" fontId="0" fillId="2" borderId="0" xfId="0" applyFill="1" applyBorder="1" applyAlignment="1" applyProtection="1">
      <alignment horizontal="justify" vertical="center"/>
      <protection hidden="1"/>
    </xf>
    <xf numFmtId="0" fontId="0" fillId="2" borderId="0" xfId="0" applyFill="1" applyBorder="1" applyAlignment="1" applyProtection="1">
      <alignment horizontal="justify" vertical="center" wrapText="1"/>
      <protection hidden="1"/>
    </xf>
    <xf numFmtId="0" fontId="19" fillId="22" borderId="0" xfId="0" applyFont="1" applyFill="1" applyAlignment="1">
      <alignment horizontal="left"/>
    </xf>
    <xf numFmtId="0" fontId="20" fillId="23" borderId="0" xfId="0" applyFont="1" applyFill="1" applyBorder="1" applyAlignment="1" applyProtection="1">
      <alignment horizontal="left" vertical="top" shrinkToFit="1"/>
      <protection hidden="1"/>
    </xf>
    <xf numFmtId="0" fontId="19" fillId="22" borderId="0" xfId="0" applyFont="1" applyFill="1" applyAlignment="1">
      <alignment horizontal="right"/>
    </xf>
    <xf numFmtId="0" fontId="18" fillId="22" borderId="0" xfId="0" applyFont="1" applyFill="1" applyAlignment="1">
      <alignment horizontal="right" vertical="top"/>
    </xf>
    <xf numFmtId="0" fontId="6" fillId="22" borderId="0" xfId="0" applyFont="1" applyFill="1" applyAlignment="1">
      <alignment horizontal="left" wrapText="1"/>
    </xf>
    <xf numFmtId="164" fontId="0" fillId="17" borderId="0" xfId="0" applyNumberFormat="1" applyFill="1" applyBorder="1" applyProtection="1">
      <protection hidden="1"/>
    </xf>
    <xf numFmtId="0" fontId="22" fillId="9" borderId="0" xfId="0" applyFont="1" applyFill="1" applyBorder="1" applyAlignment="1" applyProtection="1">
      <alignment horizontal="center" vertical="center" wrapText="1"/>
      <protection hidden="1"/>
    </xf>
    <xf numFmtId="0" fontId="2" fillId="2" borderId="0" xfId="0" applyFont="1" applyFill="1" applyBorder="1" applyAlignment="1" applyProtection="1">
      <alignment vertical="center"/>
      <protection hidden="1"/>
    </xf>
    <xf numFmtId="0" fontId="22" fillId="6" borderId="33" xfId="0" applyFont="1" applyFill="1" applyBorder="1" applyAlignment="1" applyProtection="1">
      <alignment horizontal="right"/>
      <protection hidden="1"/>
    </xf>
    <xf numFmtId="0" fontId="0" fillId="2" borderId="79" xfId="0" applyFill="1" applyBorder="1" applyProtection="1">
      <protection hidden="1"/>
    </xf>
    <xf numFmtId="0" fontId="0" fillId="2" borderId="80" xfId="0" applyFill="1" applyBorder="1" applyProtection="1">
      <protection hidden="1"/>
    </xf>
    <xf numFmtId="0" fontId="0" fillId="2" borderId="81" xfId="0" applyFill="1" applyBorder="1" applyProtection="1">
      <protection hidden="1"/>
    </xf>
    <xf numFmtId="2" fontId="13" fillId="6" borderId="35" xfId="0" applyNumberFormat="1" applyFont="1" applyFill="1" applyBorder="1" applyAlignment="1" applyProtection="1">
      <alignment horizontal="right"/>
      <protection hidden="1"/>
    </xf>
    <xf numFmtId="2" fontId="13" fillId="6" borderId="34" xfId="0" applyNumberFormat="1" applyFont="1" applyFill="1" applyBorder="1" applyAlignment="1" applyProtection="1">
      <alignment horizontal="right"/>
      <protection hidden="1"/>
    </xf>
    <xf numFmtId="2" fontId="13" fillId="6" borderId="36" xfId="0" applyNumberFormat="1" applyFont="1" applyFill="1" applyBorder="1" applyAlignment="1" applyProtection="1">
      <alignment horizontal="right"/>
      <protection hidden="1"/>
    </xf>
    <xf numFmtId="0" fontId="0" fillId="5" borderId="8" xfId="0" applyFill="1" applyBorder="1" applyAlignment="1" applyProtection="1">
      <alignment horizontal="right"/>
      <protection hidden="1"/>
    </xf>
    <xf numFmtId="0" fontId="0" fillId="5" borderId="30" xfId="0" applyFill="1" applyBorder="1" applyAlignment="1" applyProtection="1">
      <alignment horizontal="right"/>
      <protection locked="0" hidden="1"/>
    </xf>
    <xf numFmtId="0" fontId="0" fillId="5" borderId="31" xfId="0" applyFill="1" applyBorder="1" applyAlignment="1" applyProtection="1">
      <protection locked="0" hidden="1"/>
    </xf>
    <xf numFmtId="0" fontId="0" fillId="5" borderId="31" xfId="0" applyFill="1" applyBorder="1" applyAlignment="1" applyProtection="1">
      <alignment horizontal="right"/>
      <protection locked="0" hidden="1"/>
    </xf>
    <xf numFmtId="0" fontId="0" fillId="5" borderId="32" xfId="0" applyFill="1" applyBorder="1" applyAlignment="1" applyProtection="1">
      <alignment horizontal="right"/>
      <protection locked="0" hidden="1"/>
    </xf>
    <xf numFmtId="0" fontId="2" fillId="25" borderId="0" xfId="0" applyFont="1" applyFill="1" applyBorder="1" applyProtection="1">
      <protection hidden="1"/>
    </xf>
    <xf numFmtId="0" fontId="0" fillId="15" borderId="0" xfId="0" applyFill="1" applyBorder="1" applyAlignment="1" applyProtection="1">
      <alignment horizontal="right"/>
      <protection hidden="1"/>
    </xf>
    <xf numFmtId="0" fontId="0" fillId="15" borderId="0" xfId="0" applyFill="1" applyBorder="1" applyAlignment="1" applyProtection="1"/>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FF"/>
    </mruColors>
  </colors>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8" Type="http://schemas.openxmlformats.org/officeDocument/2006/relationships/image" Target="../media/image5.gif"/><Relationship Id="rId3" Type="http://schemas.openxmlformats.org/officeDocument/2006/relationships/image" Target="../media/image2.gif"/><Relationship Id="rId7" Type="http://schemas.openxmlformats.org/officeDocument/2006/relationships/image" Target="../media/image4.gif"/><Relationship Id="rId2" Type="http://schemas.openxmlformats.org/officeDocument/2006/relationships/hyperlink" Target="#'RELEASE NOTES'!A1"/><Relationship Id="rId1" Type="http://schemas.openxmlformats.org/officeDocument/2006/relationships/image" Target="../media/image1.jpeg"/><Relationship Id="rId6" Type="http://schemas.openxmlformats.org/officeDocument/2006/relationships/hyperlink" Target="#INSTRUCTIONS!A1"/><Relationship Id="rId5" Type="http://schemas.openxmlformats.org/officeDocument/2006/relationships/image" Target="../media/image3.gif"/><Relationship Id="rId10" Type="http://schemas.openxmlformats.org/officeDocument/2006/relationships/image" Target="../media/image6.gif"/><Relationship Id="rId4" Type="http://schemas.openxmlformats.org/officeDocument/2006/relationships/hyperlink" Target="#GCALC!A1"/><Relationship Id="rId9" Type="http://schemas.openxmlformats.org/officeDocument/2006/relationships/hyperlink" Target="#CREDITS!A1"/></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12</xdr:col>
      <xdr:colOff>487680</xdr:colOff>
      <xdr:row>23</xdr:row>
      <xdr:rowOff>123825</xdr:rowOff>
    </xdr:to>
    <xdr:pic>
      <xdr:nvPicPr>
        <xdr:cNvPr id="5" name="Picture 4"/>
        <xdr:cNvPicPr>
          <a:picLocks noChangeAspect="1"/>
        </xdr:cNvPicPr>
      </xdr:nvPicPr>
      <xdr:blipFill>
        <a:blip xmlns:r="http://schemas.openxmlformats.org/officeDocument/2006/relationships" r:embed="rId1" cstate="print"/>
        <a:srcRect t="7617"/>
        <a:stretch>
          <a:fillRect/>
        </a:stretch>
      </xdr:blipFill>
      <xdr:spPr>
        <a:xfrm>
          <a:off x="0" y="0"/>
          <a:ext cx="7802880" cy="4505325"/>
        </a:xfrm>
        <a:prstGeom prst="rect">
          <a:avLst/>
        </a:prstGeom>
        <a:effectLst>
          <a:softEdge rad="635000"/>
        </a:effectLst>
      </xdr:spPr>
    </xdr:pic>
    <xdr:clientData/>
  </xdr:twoCellAnchor>
  <xdr:twoCellAnchor editAs="oneCell">
    <xdr:from>
      <xdr:col>5</xdr:col>
      <xdr:colOff>426946</xdr:colOff>
      <xdr:row>22</xdr:row>
      <xdr:rowOff>70598</xdr:rowOff>
    </xdr:from>
    <xdr:to>
      <xdr:col>7</xdr:col>
      <xdr:colOff>598396</xdr:colOff>
      <xdr:row>25</xdr:row>
      <xdr:rowOff>61073</xdr:rowOff>
    </xdr:to>
    <xdr:pic>
      <xdr:nvPicPr>
        <xdr:cNvPr id="2" name="Picture 1">
          <a:hlinkClick xmlns:r="http://schemas.openxmlformats.org/officeDocument/2006/relationships" r:id="rId2"/>
        </xdr:cNvPr>
        <xdr:cNvPicPr>
          <a:picLocks noChangeAspect="1"/>
        </xdr:cNvPicPr>
      </xdr:nvPicPr>
      <xdr:blipFill>
        <a:blip xmlns:r="http://schemas.openxmlformats.org/officeDocument/2006/relationships" r:embed="rId3" cstate="print"/>
        <a:stretch>
          <a:fillRect/>
        </a:stretch>
      </xdr:blipFill>
      <xdr:spPr>
        <a:xfrm>
          <a:off x="3474946" y="4261598"/>
          <a:ext cx="1390650" cy="561975"/>
        </a:xfrm>
        <a:prstGeom prst="rect">
          <a:avLst/>
        </a:prstGeom>
      </xdr:spPr>
    </xdr:pic>
    <xdr:clientData/>
  </xdr:twoCellAnchor>
  <xdr:twoCellAnchor editAs="oneCell">
    <xdr:from>
      <xdr:col>3</xdr:col>
      <xdr:colOff>304800</xdr:colOff>
      <xdr:row>22</xdr:row>
      <xdr:rowOff>70598</xdr:rowOff>
    </xdr:from>
    <xdr:to>
      <xdr:col>5</xdr:col>
      <xdr:colOff>447675</xdr:colOff>
      <xdr:row>25</xdr:row>
      <xdr:rowOff>61073</xdr:rowOff>
    </xdr:to>
    <xdr:pic>
      <xdr:nvPicPr>
        <xdr:cNvPr id="3" name="Picture 2">
          <a:hlinkClick xmlns:r="http://schemas.openxmlformats.org/officeDocument/2006/relationships" r:id="rId4"/>
        </xdr:cNvPr>
        <xdr:cNvPicPr>
          <a:picLocks noChangeAspect="1"/>
        </xdr:cNvPicPr>
      </xdr:nvPicPr>
      <xdr:blipFill>
        <a:blip xmlns:r="http://schemas.openxmlformats.org/officeDocument/2006/relationships" r:embed="rId5" cstate="print"/>
        <a:stretch>
          <a:fillRect/>
        </a:stretch>
      </xdr:blipFill>
      <xdr:spPr>
        <a:xfrm>
          <a:off x="2133600" y="4261598"/>
          <a:ext cx="1362075" cy="561975"/>
        </a:xfrm>
        <a:prstGeom prst="rect">
          <a:avLst/>
        </a:prstGeom>
      </xdr:spPr>
    </xdr:pic>
    <xdr:clientData/>
  </xdr:twoCellAnchor>
  <xdr:twoCellAnchor editAs="oneCell">
    <xdr:from>
      <xdr:col>1</xdr:col>
      <xdr:colOff>142875</xdr:colOff>
      <xdr:row>22</xdr:row>
      <xdr:rowOff>70598</xdr:rowOff>
    </xdr:from>
    <xdr:to>
      <xdr:col>3</xdr:col>
      <xdr:colOff>304800</xdr:colOff>
      <xdr:row>25</xdr:row>
      <xdr:rowOff>61073</xdr:rowOff>
    </xdr:to>
    <xdr:pic>
      <xdr:nvPicPr>
        <xdr:cNvPr id="4" name="Picture 3">
          <a:hlinkClick xmlns:r="http://schemas.openxmlformats.org/officeDocument/2006/relationships" r:id="rId6"/>
        </xdr:cNvPr>
        <xdr:cNvPicPr>
          <a:picLocks noChangeAspect="1"/>
        </xdr:cNvPicPr>
      </xdr:nvPicPr>
      <xdr:blipFill>
        <a:blip xmlns:r="http://schemas.openxmlformats.org/officeDocument/2006/relationships" r:embed="rId7" cstate="print"/>
        <a:stretch>
          <a:fillRect/>
        </a:stretch>
      </xdr:blipFill>
      <xdr:spPr>
        <a:xfrm>
          <a:off x="752475" y="4261598"/>
          <a:ext cx="1381125" cy="561975"/>
        </a:xfrm>
        <a:prstGeom prst="rect">
          <a:avLst/>
        </a:prstGeom>
      </xdr:spPr>
    </xdr:pic>
    <xdr:clientData/>
  </xdr:twoCellAnchor>
  <xdr:twoCellAnchor editAs="oneCell">
    <xdr:from>
      <xdr:col>1</xdr:col>
      <xdr:colOff>114300</xdr:colOff>
      <xdr:row>10</xdr:row>
      <xdr:rowOff>180567</xdr:rowOff>
    </xdr:from>
    <xdr:to>
      <xdr:col>11</xdr:col>
      <xdr:colOff>333376</xdr:colOff>
      <xdr:row>20</xdr:row>
      <xdr:rowOff>61831</xdr:rowOff>
    </xdr:to>
    <xdr:pic>
      <xdr:nvPicPr>
        <xdr:cNvPr id="6" name="Picture 5" descr="Germain.gif"/>
        <xdr:cNvPicPr>
          <a:picLocks noChangeAspect="1"/>
        </xdr:cNvPicPr>
      </xdr:nvPicPr>
      <xdr:blipFill>
        <a:blip xmlns:r="http://schemas.openxmlformats.org/officeDocument/2006/relationships" r:embed="rId8" cstate="print"/>
        <a:stretch>
          <a:fillRect/>
        </a:stretch>
      </xdr:blipFill>
      <xdr:spPr>
        <a:xfrm>
          <a:off x="723900" y="2657067"/>
          <a:ext cx="6315076" cy="1786264"/>
        </a:xfrm>
        <a:prstGeom prst="rect">
          <a:avLst/>
        </a:prstGeom>
        <a:effectLst>
          <a:softEdge rad="317500"/>
        </a:effectLst>
      </xdr:spPr>
    </xdr:pic>
    <xdr:clientData/>
  </xdr:twoCellAnchor>
  <xdr:twoCellAnchor editAs="oneCell">
    <xdr:from>
      <xdr:col>9</xdr:col>
      <xdr:colOff>38100</xdr:colOff>
      <xdr:row>22</xdr:row>
      <xdr:rowOff>66675</xdr:rowOff>
    </xdr:from>
    <xdr:to>
      <xdr:col>11</xdr:col>
      <xdr:colOff>190500</xdr:colOff>
      <xdr:row>25</xdr:row>
      <xdr:rowOff>57150</xdr:rowOff>
    </xdr:to>
    <xdr:pic>
      <xdr:nvPicPr>
        <xdr:cNvPr id="7" name="Picture 6" descr="Credits.gif">
          <a:hlinkClick xmlns:r="http://schemas.openxmlformats.org/officeDocument/2006/relationships" r:id="rId9"/>
        </xdr:cNvPr>
        <xdr:cNvPicPr>
          <a:picLocks noChangeAspect="1"/>
        </xdr:cNvPicPr>
      </xdr:nvPicPr>
      <xdr:blipFill>
        <a:blip xmlns:r="http://schemas.openxmlformats.org/officeDocument/2006/relationships" r:embed="rId10" cstate="print"/>
        <a:stretch>
          <a:fillRect/>
        </a:stretch>
      </xdr:blipFill>
      <xdr:spPr>
        <a:xfrm>
          <a:off x="5524500" y="4257675"/>
          <a:ext cx="1371600" cy="5619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E0E0E0"/>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G1:L1"/>
  <sheetViews>
    <sheetView tabSelected="1" workbookViewId="0"/>
  </sheetViews>
  <sheetFormatPr defaultRowHeight="15"/>
  <cols>
    <col min="1" max="16384" width="9.140625" style="299"/>
  </cols>
  <sheetData>
    <row r="1" spans="7:12">
      <c r="G1" s="300" t="s">
        <v>124</v>
      </c>
      <c r="H1" s="300"/>
      <c r="I1" s="300"/>
      <c r="J1" s="300"/>
      <c r="K1" s="300"/>
      <c r="L1" s="300"/>
    </row>
  </sheetData>
  <sheetProtection password="E92A" sheet="1" objects="1" scenarios="1" selectLockedCells="1"/>
  <mergeCells count="1">
    <mergeCell ref="G1:L1"/>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dimension ref="B2:M10"/>
  <sheetViews>
    <sheetView workbookViewId="0"/>
  </sheetViews>
  <sheetFormatPr defaultRowHeight="15"/>
  <cols>
    <col min="1" max="16384" width="9.140625" style="233"/>
  </cols>
  <sheetData>
    <row r="2" spans="2:13">
      <c r="B2" s="83" t="s">
        <v>45</v>
      </c>
      <c r="C2" s="301" t="s">
        <v>120</v>
      </c>
      <c r="D2" s="301"/>
      <c r="E2" s="301"/>
      <c r="F2" s="301"/>
      <c r="G2" s="301"/>
      <c r="H2" s="301"/>
      <c r="I2" s="301"/>
      <c r="J2" s="301"/>
      <c r="K2" s="301"/>
      <c r="L2" s="301"/>
      <c r="M2" s="301"/>
    </row>
    <row r="3" spans="2:13">
      <c r="B3" s="7"/>
      <c r="C3" s="301"/>
      <c r="D3" s="301"/>
      <c r="E3" s="301"/>
      <c r="F3" s="301"/>
      <c r="G3" s="301"/>
      <c r="H3" s="301"/>
      <c r="I3" s="301"/>
      <c r="J3" s="301"/>
      <c r="K3" s="301"/>
      <c r="L3" s="301"/>
      <c r="M3" s="301"/>
    </row>
    <row r="4" spans="2:13">
      <c r="B4" s="7"/>
      <c r="C4" s="301"/>
      <c r="D4" s="301"/>
      <c r="E4" s="301"/>
      <c r="F4" s="301"/>
      <c r="G4" s="301"/>
      <c r="H4" s="301"/>
      <c r="I4" s="301"/>
      <c r="J4" s="301"/>
      <c r="K4" s="301"/>
      <c r="L4" s="301"/>
      <c r="M4" s="301"/>
    </row>
    <row r="5" spans="2:13">
      <c r="B5" s="7"/>
      <c r="C5" s="301"/>
      <c r="D5" s="301"/>
      <c r="E5" s="301"/>
      <c r="F5" s="301"/>
      <c r="G5" s="301"/>
      <c r="H5" s="301"/>
      <c r="I5" s="301"/>
      <c r="J5" s="301"/>
      <c r="K5" s="301"/>
      <c r="L5" s="301"/>
      <c r="M5" s="301"/>
    </row>
    <row r="6" spans="2:13">
      <c r="B6" s="83" t="s">
        <v>47</v>
      </c>
      <c r="C6" s="301" t="s">
        <v>48</v>
      </c>
      <c r="D6" s="301"/>
      <c r="E6" s="301"/>
      <c r="F6" s="301"/>
      <c r="G6" s="301"/>
      <c r="H6" s="301"/>
      <c r="I6" s="301"/>
      <c r="J6" s="301"/>
      <c r="K6" s="301"/>
      <c r="L6" s="301"/>
      <c r="M6" s="301"/>
    </row>
    <row r="7" spans="2:13">
      <c r="B7" s="7"/>
      <c r="C7" s="301"/>
      <c r="D7" s="301"/>
      <c r="E7" s="301"/>
      <c r="F7" s="301"/>
      <c r="G7" s="301"/>
      <c r="H7" s="301"/>
      <c r="I7" s="301"/>
      <c r="J7" s="301"/>
      <c r="K7" s="301"/>
      <c r="L7" s="301"/>
      <c r="M7" s="301"/>
    </row>
    <row r="8" spans="2:13">
      <c r="B8" s="7"/>
      <c r="C8" s="301"/>
      <c r="D8" s="301"/>
      <c r="E8" s="301"/>
      <c r="F8" s="301"/>
      <c r="G8" s="301"/>
      <c r="H8" s="301"/>
      <c r="I8" s="301"/>
      <c r="J8" s="301"/>
      <c r="K8" s="301"/>
      <c r="L8" s="301"/>
      <c r="M8" s="301"/>
    </row>
    <row r="9" spans="2:13">
      <c r="B9" s="7"/>
      <c r="C9" s="301"/>
      <c r="D9" s="301"/>
      <c r="E9" s="301"/>
      <c r="F9" s="301"/>
      <c r="G9" s="301"/>
      <c r="H9" s="301"/>
      <c r="I9" s="301"/>
      <c r="J9" s="301"/>
      <c r="K9" s="301"/>
      <c r="L9" s="301"/>
      <c r="M9" s="301"/>
    </row>
    <row r="10" spans="2:13">
      <c r="B10" s="7"/>
      <c r="C10" s="301"/>
      <c r="D10" s="301"/>
      <c r="E10" s="301"/>
      <c r="F10" s="301"/>
      <c r="G10" s="301"/>
      <c r="H10" s="301"/>
      <c r="I10" s="301"/>
      <c r="J10" s="301"/>
      <c r="K10" s="301"/>
      <c r="L10" s="301"/>
      <c r="M10" s="301"/>
    </row>
  </sheetData>
  <sheetProtection password="E92A" sheet="1" objects="1" scenarios="1" selectLockedCells="1"/>
  <mergeCells count="2">
    <mergeCell ref="C2:M5"/>
    <mergeCell ref="C6:M10"/>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AG125"/>
  <sheetViews>
    <sheetView topLeftCell="A2" workbookViewId="0">
      <selection activeCell="B2" sqref="B2"/>
    </sheetView>
  </sheetViews>
  <sheetFormatPr defaultRowHeight="15"/>
  <cols>
    <col min="1" max="1" width="10" style="7" customWidth="1"/>
    <col min="2" max="2" width="18.5703125" style="7" bestFit="1" customWidth="1"/>
    <col min="3" max="3" width="6.28515625" style="119" hidden="1" customWidth="1"/>
    <col min="4" max="4" width="13.28515625" style="7" customWidth="1"/>
    <col min="5" max="5" width="4.85546875" style="113" hidden="1" customWidth="1"/>
    <col min="6" max="6" width="10.5703125" style="113" hidden="1" customWidth="1"/>
    <col min="7" max="7" width="3.5703125" style="12" customWidth="1"/>
    <col min="8" max="9" width="10.140625" style="113" hidden="1" customWidth="1"/>
    <col min="10" max="12" width="13.28515625" style="12" customWidth="1"/>
    <col min="13" max="14" width="13.28515625" style="119" hidden="1" customWidth="1"/>
    <col min="15" max="15" width="13.28515625" style="7" customWidth="1"/>
    <col min="16" max="16" width="13.28515625" style="7" hidden="1" customWidth="1"/>
    <col min="17" max="17" width="1.42578125" style="7" customWidth="1"/>
    <col min="18" max="18" width="11.85546875" style="35" customWidth="1"/>
    <col min="19" max="19" width="11.85546875" style="7" bestFit="1" customWidth="1"/>
    <col min="20" max="20" width="0.7109375" style="7" customWidth="1"/>
    <col min="21" max="21" width="11.28515625" style="7" bestFit="1" customWidth="1"/>
    <col min="22" max="22" width="13.28515625" style="7" customWidth="1"/>
    <col min="23" max="23" width="13.28515625" style="37" customWidth="1"/>
    <col min="24" max="24" width="12.28515625" style="7" customWidth="1"/>
    <col min="25" max="25" width="11.28515625" style="119" hidden="1" customWidth="1"/>
    <col min="26" max="26" width="5.42578125" style="119" hidden="1" customWidth="1"/>
    <col min="27" max="27" width="7.7109375" style="119" hidden="1" customWidth="1"/>
    <col min="28" max="28" width="7.140625" style="119" hidden="1" customWidth="1"/>
    <col min="29" max="29" width="8.5703125" style="119" hidden="1" customWidth="1"/>
    <col min="30" max="33" width="9.140625" style="119" hidden="1" customWidth="1"/>
    <col min="34" max="16384" width="9.140625" style="7"/>
  </cols>
  <sheetData>
    <row r="1" spans="1:33" ht="16.5" thickTop="1" thickBot="1">
      <c r="A1" s="1" t="s">
        <v>0</v>
      </c>
      <c r="B1" s="179" t="s">
        <v>32</v>
      </c>
      <c r="C1" s="180" t="s">
        <v>34</v>
      </c>
      <c r="D1" s="181" t="s">
        <v>1</v>
      </c>
      <c r="E1" s="137" t="s">
        <v>25</v>
      </c>
      <c r="F1" s="138" t="s">
        <v>39</v>
      </c>
      <c r="G1" s="2"/>
      <c r="H1" s="145" t="s">
        <v>36</v>
      </c>
      <c r="I1" s="145"/>
      <c r="J1" s="3" t="s">
        <v>36</v>
      </c>
      <c r="K1" s="3"/>
      <c r="L1" s="187" t="s">
        <v>23</v>
      </c>
      <c r="M1" s="180" t="s">
        <v>23</v>
      </c>
      <c r="N1" s="282"/>
      <c r="O1" s="4" t="s">
        <v>22</v>
      </c>
      <c r="P1" s="287"/>
      <c r="Q1" s="5"/>
      <c r="R1" s="6"/>
      <c r="U1" s="8" t="s">
        <v>0</v>
      </c>
      <c r="V1" s="190" t="s">
        <v>33</v>
      </c>
      <c r="W1" s="294" t="s">
        <v>34</v>
      </c>
      <c r="X1" s="293" t="s">
        <v>123</v>
      </c>
    </row>
    <row r="2" spans="1:33" ht="16.5" thickTop="1" thickBot="1">
      <c r="A2" s="10" t="s">
        <v>2</v>
      </c>
      <c r="B2" s="245"/>
      <c r="C2" s="182">
        <f t="shared" ref="C2:C13" si="0">B2-V2</f>
        <v>0</v>
      </c>
      <c r="D2" s="17" t="str">
        <f>IF(B2&lt;&gt;0,B2*2,"")</f>
        <v/>
      </c>
      <c r="E2" s="113">
        <f>INT(AA2*0.9^S3*0.995^S5)</f>
        <v>50</v>
      </c>
      <c r="F2" s="113" t="e">
        <f>H2</f>
        <v>#VALUE!</v>
      </c>
      <c r="G2" s="344" t="s">
        <v>24</v>
      </c>
      <c r="H2" s="146" t="e">
        <f>M24*E2*R24</f>
        <v>#VALUE!</v>
      </c>
      <c r="I2" s="13" t="str">
        <f t="shared" ref="I2:I13" si="1">IF(ISERROR(((IF(H2="","",IF(H2&lt;3600,H2,"&gt;1 Hour"))))),"",((IF(H2="","",IF(H2&lt;3600,H2,IF(H2="","","&gt;1 Hour"))))))</f>
        <v/>
      </c>
      <c r="J2" s="13" t="str">
        <f>IF(I2&lt;0,"",I2)</f>
        <v/>
      </c>
      <c r="K2" s="230" t="str">
        <f t="shared" ref="K2:K14" si="2">IF(ISERROR((IF(M2&lt;&gt;"&lt;1 Hour",IF(M2&lt;&gt;"",INT(M2) &amp; ":" &amp; INT((M2-INT(M2))*60),""),"&lt;1 Hour"))),"",(IF(M2&lt;&gt;"&lt;1 Hour",IF(M2&lt;&gt;"",INT(M2) &amp; ":" &amp; INT((M2-INT(M2))*60),""),"&lt;1 Hour")))</f>
        <v/>
      </c>
      <c r="L2" s="230" t="str">
        <f>IF(M2&lt;0,"",K2)</f>
        <v/>
      </c>
      <c r="M2" s="151" t="str">
        <f>IF(ISERROR((F2/3600)),"",(F2/3600))</f>
        <v/>
      </c>
      <c r="N2" s="14" t="str">
        <f t="shared" ref="N2:N13" si="3">IF(ISERROR((IF(AND(M2&gt;24,M2&lt;&gt;"",M2&lt;&gt;0),ROUND(M2/24,3),(IF(ISTEXT(M2),"","&lt;1 Day"))))),"&lt;1 Day",(IF(AND(M2&gt;24,M2&lt;&gt;"",M2&lt;&gt;0),ROUND(M2/24,3),(IF(ISTEXT(M2),"","&lt;1 Day")))))</f>
        <v/>
      </c>
      <c r="O2" s="14" t="str">
        <f>IF(M2&lt;0,"",N2)</f>
        <v/>
      </c>
      <c r="P2" s="288"/>
      <c r="Q2" s="15"/>
      <c r="R2" s="16"/>
      <c r="U2" s="10" t="s">
        <v>2</v>
      </c>
      <c r="V2" s="245"/>
      <c r="W2" s="295" t="str">
        <f t="shared" ref="W2:W13" si="4">IF(C2&lt;&gt;0,IF(C2&lt;0,0,C2),"")</f>
        <v/>
      </c>
      <c r="X2" s="17" t="str">
        <f t="shared" ref="X2:X13" si="5">IF(ISERROR((W2*AG2)),"",(W2*AG2))</f>
        <v/>
      </c>
      <c r="Y2" s="129">
        <f>TRUNC(S8/Z2,0)</f>
        <v>0</v>
      </c>
      <c r="Z2" s="129">
        <f>1/1</f>
        <v>1</v>
      </c>
      <c r="AA2" s="157">
        <v>50</v>
      </c>
      <c r="AB2" s="346" t="s">
        <v>55</v>
      </c>
      <c r="AG2" s="119">
        <v>1.125</v>
      </c>
    </row>
    <row r="3" spans="1:33" ht="15.75" thickTop="1">
      <c r="A3" s="18" t="s">
        <v>3</v>
      </c>
      <c r="B3" s="246"/>
      <c r="C3" s="183">
        <f t="shared" si="0"/>
        <v>0</v>
      </c>
      <c r="D3" s="22" t="str">
        <f>IF(B3&lt;&gt;0,B3*3,"")</f>
        <v/>
      </c>
      <c r="E3" s="113">
        <f>INT(AA3*0.9^S3*0.995^S5)</f>
        <v>25</v>
      </c>
      <c r="F3" s="113" t="e">
        <f>H3</f>
        <v>#VALUE!</v>
      </c>
      <c r="G3" s="344"/>
      <c r="H3" s="147" t="e">
        <f t="shared" ref="H3:H13" si="6">M25*E3*R25</f>
        <v>#VALUE!</v>
      </c>
      <c r="I3" s="19" t="str">
        <f t="shared" si="1"/>
        <v/>
      </c>
      <c r="J3" s="19" t="str">
        <f t="shared" ref="J3:J13" si="7">IF(I3&lt;0,"",I3)</f>
        <v/>
      </c>
      <c r="K3" s="231" t="str">
        <f t="shared" si="2"/>
        <v/>
      </c>
      <c r="L3" s="231" t="str">
        <f t="shared" ref="L3:L13" si="8">IF(M3&lt;0,"",K3)</f>
        <v/>
      </c>
      <c r="M3" s="152" t="str">
        <f t="shared" ref="M3:M13" si="9">IF(ISERROR((F3/3600)),"",(F3/3600))</f>
        <v/>
      </c>
      <c r="N3" s="20" t="str">
        <f t="shared" si="3"/>
        <v/>
      </c>
      <c r="O3" s="20" t="str">
        <f t="shared" ref="O3:O13" si="10">IF(M3&lt;0,"",N3)</f>
        <v/>
      </c>
      <c r="P3" s="288"/>
      <c r="Q3" s="15"/>
      <c r="R3" s="21" t="s">
        <v>19</v>
      </c>
      <c r="S3" s="248"/>
      <c r="U3" s="18" t="s">
        <v>3</v>
      </c>
      <c r="V3" s="246"/>
      <c r="W3" s="296" t="str">
        <f t="shared" si="4"/>
        <v/>
      </c>
      <c r="X3" s="270" t="str">
        <f t="shared" si="5"/>
        <v/>
      </c>
      <c r="Y3" s="129">
        <f>TRUNC(S8/Z3,0)</f>
        <v>0</v>
      </c>
      <c r="Z3" s="129">
        <f>1/1</f>
        <v>1</v>
      </c>
      <c r="AA3" s="157">
        <v>25</v>
      </c>
      <c r="AB3" s="346"/>
      <c r="AG3" s="119">
        <v>1.5249999999999999</v>
      </c>
    </row>
    <row r="4" spans="1:33">
      <c r="A4" s="18" t="s">
        <v>4</v>
      </c>
      <c r="B4" s="246"/>
      <c r="C4" s="183">
        <f t="shared" si="0"/>
        <v>0</v>
      </c>
      <c r="D4" s="22" t="str">
        <f>IF(B4&lt;&gt;0,B4*5,"")</f>
        <v/>
      </c>
      <c r="E4" s="113">
        <f>INT(AA4*0.9^S3*0.995^S5)</f>
        <v>100</v>
      </c>
      <c r="F4" s="113" t="e">
        <f t="shared" ref="F4:F12" si="11">H4</f>
        <v>#VALUE!</v>
      </c>
      <c r="G4" s="344"/>
      <c r="H4" s="147" t="e">
        <f t="shared" si="6"/>
        <v>#VALUE!</v>
      </c>
      <c r="I4" s="19" t="str">
        <f t="shared" si="1"/>
        <v/>
      </c>
      <c r="J4" s="19" t="str">
        <f t="shared" si="7"/>
        <v/>
      </c>
      <c r="K4" s="231" t="str">
        <f t="shared" si="2"/>
        <v/>
      </c>
      <c r="L4" s="231" t="str">
        <f t="shared" si="8"/>
        <v/>
      </c>
      <c r="M4" s="152" t="str">
        <f t="shared" si="9"/>
        <v/>
      </c>
      <c r="N4" s="20" t="str">
        <f t="shared" si="3"/>
        <v/>
      </c>
      <c r="O4" s="20" t="str">
        <f t="shared" si="10"/>
        <v/>
      </c>
      <c r="P4" s="288"/>
      <c r="Q4" s="15"/>
      <c r="R4" s="23" t="s">
        <v>46</v>
      </c>
      <c r="S4" s="249"/>
      <c r="U4" s="18" t="s">
        <v>4</v>
      </c>
      <c r="V4" s="246"/>
      <c r="W4" s="296" t="str">
        <f t="shared" si="4"/>
        <v/>
      </c>
      <c r="X4" s="270" t="str">
        <f t="shared" si="5"/>
        <v/>
      </c>
      <c r="Y4" s="129">
        <f>TRUNC(S8/Z4,0)</f>
        <v>0</v>
      </c>
      <c r="Z4" s="129">
        <f>1/1</f>
        <v>1</v>
      </c>
      <c r="AA4" s="157">
        <v>100</v>
      </c>
      <c r="AB4" s="346"/>
      <c r="AG4" s="119">
        <v>3.4750000000000001</v>
      </c>
    </row>
    <row r="5" spans="1:33">
      <c r="A5" s="18" t="s">
        <v>5</v>
      </c>
      <c r="B5" s="246"/>
      <c r="C5" s="183">
        <f t="shared" si="0"/>
        <v>0</v>
      </c>
      <c r="D5" s="22" t="str">
        <f>IF(B5&lt;&gt;0,B5*6,"")</f>
        <v/>
      </c>
      <c r="E5" s="113">
        <f>INT(AA5*0.9^S3*0.995^S5)</f>
        <v>150</v>
      </c>
      <c r="F5" s="113" t="e">
        <f t="shared" si="11"/>
        <v>#VALUE!</v>
      </c>
      <c r="G5" s="344"/>
      <c r="H5" s="147" t="e">
        <f t="shared" si="6"/>
        <v>#VALUE!</v>
      </c>
      <c r="I5" s="19" t="str">
        <f t="shared" si="1"/>
        <v/>
      </c>
      <c r="J5" s="19" t="str">
        <f t="shared" si="7"/>
        <v/>
      </c>
      <c r="K5" s="231" t="str">
        <f t="shared" si="2"/>
        <v/>
      </c>
      <c r="L5" s="231" t="str">
        <f t="shared" si="8"/>
        <v/>
      </c>
      <c r="M5" s="152" t="str">
        <f t="shared" si="9"/>
        <v/>
      </c>
      <c r="N5" s="20" t="str">
        <f>IF(ISERROR((IF(AND(M5&gt;24,M5&lt;&gt;"",M5&lt;&gt;0),ROUND(M5/24,3),(IF(ISTEXT(M5),"","&lt;1 Day"))))),"&lt;1 Day",(IF(AND(M5&gt;24,M5&lt;&gt;"",M5&lt;&gt;0),ROUND(M5/24,3),(IF(ISTEXT(M5),"","&lt;1 Day")))))</f>
        <v/>
      </c>
      <c r="O5" s="20" t="str">
        <f t="shared" si="10"/>
        <v/>
      </c>
      <c r="P5" s="288"/>
      <c r="Q5" s="15"/>
      <c r="R5" s="24" t="s">
        <v>20</v>
      </c>
      <c r="S5" s="250"/>
      <c r="U5" s="18" t="s">
        <v>5</v>
      </c>
      <c r="V5" s="246"/>
      <c r="W5" s="296" t="str">
        <f t="shared" si="4"/>
        <v/>
      </c>
      <c r="X5" s="270" t="str">
        <f t="shared" si="5"/>
        <v/>
      </c>
      <c r="Y5" s="129">
        <f>TRUNC(S8/Z5,0)</f>
        <v>0</v>
      </c>
      <c r="Z5" s="129">
        <f>1/1</f>
        <v>1</v>
      </c>
      <c r="AA5" s="157">
        <v>150</v>
      </c>
      <c r="AB5" s="346"/>
      <c r="AG5" s="119">
        <v>4.5</v>
      </c>
    </row>
    <row r="6" spans="1:33">
      <c r="A6" s="18" t="s">
        <v>6</v>
      </c>
      <c r="B6" s="246"/>
      <c r="C6" s="183">
        <f t="shared" si="0"/>
        <v>0</v>
      </c>
      <c r="D6" s="22" t="str">
        <f>IF(B6&lt;&gt;0,B6*7,"")</f>
        <v/>
      </c>
      <c r="E6" s="113">
        <f>INT(AA6*0.9^S3*0.995^S5)</f>
        <v>225</v>
      </c>
      <c r="F6" s="113" t="e">
        <f t="shared" si="11"/>
        <v>#VALUE!</v>
      </c>
      <c r="G6" s="344"/>
      <c r="H6" s="147" t="e">
        <f t="shared" si="6"/>
        <v>#VALUE!</v>
      </c>
      <c r="I6" s="19" t="str">
        <f t="shared" si="1"/>
        <v/>
      </c>
      <c r="J6" s="19" t="str">
        <f t="shared" si="7"/>
        <v/>
      </c>
      <c r="K6" s="231" t="str">
        <f t="shared" si="2"/>
        <v/>
      </c>
      <c r="L6" s="231" t="str">
        <f t="shared" si="8"/>
        <v/>
      </c>
      <c r="M6" s="152" t="str">
        <f t="shared" si="9"/>
        <v/>
      </c>
      <c r="N6" s="20" t="str">
        <f t="shared" si="3"/>
        <v/>
      </c>
      <c r="O6" s="20" t="str">
        <f t="shared" si="10"/>
        <v/>
      </c>
      <c r="P6" s="288"/>
      <c r="Q6" s="15"/>
      <c r="R6" s="25" t="s">
        <v>21</v>
      </c>
      <c r="S6" s="251"/>
      <c r="U6" s="18" t="s">
        <v>6</v>
      </c>
      <c r="V6" s="246"/>
      <c r="W6" s="296" t="str">
        <f t="shared" si="4"/>
        <v/>
      </c>
      <c r="X6" s="270" t="str">
        <f t="shared" si="5"/>
        <v/>
      </c>
      <c r="Y6" s="129">
        <f>TRUNC(S8/Z6,0)</f>
        <v>0</v>
      </c>
      <c r="Z6" s="129">
        <f>1/1</f>
        <v>1</v>
      </c>
      <c r="AA6" s="157">
        <v>225</v>
      </c>
      <c r="AB6" s="346"/>
      <c r="AG6" s="119">
        <v>6.75</v>
      </c>
    </row>
    <row r="7" spans="1:33" ht="15" customHeight="1">
      <c r="A7" s="18" t="s">
        <v>7</v>
      </c>
      <c r="B7" s="246"/>
      <c r="C7" s="183">
        <f t="shared" si="0"/>
        <v>0</v>
      </c>
      <c r="D7" s="22" t="str">
        <f>IF(B7&lt;&gt;0,B7*9,"")</f>
        <v/>
      </c>
      <c r="E7" s="113">
        <f>INT(AA7*0.9^S3*0.995^S5)</f>
        <v>350</v>
      </c>
      <c r="F7" s="113" t="e">
        <f t="shared" si="11"/>
        <v>#VALUE!</v>
      </c>
      <c r="G7" s="344"/>
      <c r="H7" s="147" t="e">
        <f t="shared" si="6"/>
        <v>#VALUE!</v>
      </c>
      <c r="I7" s="19" t="str">
        <f t="shared" si="1"/>
        <v/>
      </c>
      <c r="J7" s="19" t="str">
        <f t="shared" si="7"/>
        <v/>
      </c>
      <c r="K7" s="231" t="str">
        <f t="shared" si="2"/>
        <v/>
      </c>
      <c r="L7" s="231" t="str">
        <f t="shared" si="8"/>
        <v/>
      </c>
      <c r="M7" s="152" t="str">
        <f t="shared" si="9"/>
        <v/>
      </c>
      <c r="N7" s="20" t="str">
        <f t="shared" si="3"/>
        <v/>
      </c>
      <c r="O7" s="20" t="str">
        <f t="shared" si="10"/>
        <v/>
      </c>
      <c r="P7" s="288"/>
      <c r="Q7" s="15"/>
      <c r="R7" s="25" t="s">
        <v>43</v>
      </c>
      <c r="S7" s="251"/>
      <c r="U7" s="18" t="s">
        <v>7</v>
      </c>
      <c r="V7" s="246"/>
      <c r="W7" s="296" t="str">
        <f t="shared" si="4"/>
        <v/>
      </c>
      <c r="X7" s="270" t="str">
        <f t="shared" si="5"/>
        <v/>
      </c>
      <c r="Y7" s="129">
        <f>TRUNC(S8/Z7,0)</f>
        <v>0</v>
      </c>
      <c r="Z7" s="129">
        <f>1/2</f>
        <v>0.5</v>
      </c>
      <c r="AA7" s="157">
        <v>350</v>
      </c>
      <c r="AB7" s="346"/>
      <c r="AG7" s="119">
        <v>7</v>
      </c>
    </row>
    <row r="8" spans="1:33" ht="15.75" thickBot="1">
      <c r="A8" s="18" t="s">
        <v>8</v>
      </c>
      <c r="B8" s="246"/>
      <c r="C8" s="183">
        <f t="shared" si="0"/>
        <v>0</v>
      </c>
      <c r="D8" s="22" t="str">
        <f>IF(B8&lt;&gt;0,B8*18,"")</f>
        <v/>
      </c>
      <c r="E8" s="113">
        <f>INT(AA8*0.9^S3*0.995^S5)</f>
        <v>500</v>
      </c>
      <c r="F8" s="113" t="e">
        <f t="shared" si="11"/>
        <v>#VALUE!</v>
      </c>
      <c r="G8" s="344"/>
      <c r="H8" s="147" t="e">
        <f t="shared" si="6"/>
        <v>#VALUE!</v>
      </c>
      <c r="I8" s="19" t="str">
        <f t="shared" si="1"/>
        <v/>
      </c>
      <c r="J8" s="19" t="str">
        <f t="shared" si="7"/>
        <v/>
      </c>
      <c r="K8" s="231" t="str">
        <f t="shared" si="2"/>
        <v/>
      </c>
      <c r="L8" s="231" t="str">
        <f t="shared" si="8"/>
        <v/>
      </c>
      <c r="M8" s="152" t="str">
        <f t="shared" si="9"/>
        <v/>
      </c>
      <c r="N8" s="20" t="str">
        <f t="shared" si="3"/>
        <v/>
      </c>
      <c r="O8" s="20" t="str">
        <f t="shared" si="10"/>
        <v/>
      </c>
      <c r="P8" s="288"/>
      <c r="Q8" s="15"/>
      <c r="R8" s="26" t="s">
        <v>37</v>
      </c>
      <c r="S8" s="252"/>
      <c r="U8" s="18" t="s">
        <v>8</v>
      </c>
      <c r="V8" s="246"/>
      <c r="W8" s="296" t="str">
        <f t="shared" si="4"/>
        <v/>
      </c>
      <c r="X8" s="270" t="str">
        <f t="shared" si="5"/>
        <v/>
      </c>
      <c r="Y8" s="129">
        <f>TRUNC(S8/Z8,0)</f>
        <v>0</v>
      </c>
      <c r="Z8" s="129">
        <f>1/3</f>
        <v>0.33333333333333331</v>
      </c>
      <c r="AA8" s="157">
        <v>500</v>
      </c>
      <c r="AB8" s="346"/>
      <c r="AG8" s="119">
        <v>14.25</v>
      </c>
    </row>
    <row r="9" spans="1:33" ht="15.75" thickTop="1">
      <c r="A9" s="18" t="s">
        <v>9</v>
      </c>
      <c r="B9" s="246"/>
      <c r="C9" s="183">
        <f t="shared" si="0"/>
        <v>0</v>
      </c>
      <c r="D9" s="22" t="str">
        <f>IF(B9&lt;&gt;0,B9*35,"")</f>
        <v/>
      </c>
      <c r="E9" s="113">
        <f>INT(AA9*0.9^S3*0.995^S5)</f>
        <v>1500</v>
      </c>
      <c r="F9" s="113" t="e">
        <f t="shared" si="11"/>
        <v>#VALUE!</v>
      </c>
      <c r="G9" s="344"/>
      <c r="H9" s="147" t="e">
        <f t="shared" si="6"/>
        <v>#VALUE!</v>
      </c>
      <c r="I9" s="19" t="str">
        <f t="shared" si="1"/>
        <v/>
      </c>
      <c r="J9" s="19" t="str">
        <f t="shared" si="7"/>
        <v/>
      </c>
      <c r="K9" s="231" t="str">
        <f t="shared" si="2"/>
        <v/>
      </c>
      <c r="L9" s="231" t="str">
        <f t="shared" si="8"/>
        <v/>
      </c>
      <c r="M9" s="152" t="str">
        <f t="shared" si="9"/>
        <v/>
      </c>
      <c r="N9" s="20" t="str">
        <f t="shared" si="3"/>
        <v/>
      </c>
      <c r="O9" s="20" t="str">
        <f t="shared" si="10"/>
        <v/>
      </c>
      <c r="P9" s="288"/>
      <c r="Q9" s="15"/>
      <c r="R9" s="16"/>
      <c r="U9" s="18" t="s">
        <v>9</v>
      </c>
      <c r="V9" s="246"/>
      <c r="W9" s="296" t="str">
        <f t="shared" si="4"/>
        <v/>
      </c>
      <c r="X9" s="270" t="str">
        <f t="shared" si="5"/>
        <v/>
      </c>
      <c r="Y9" s="129">
        <f>TRUNC(S8/Z9,0)</f>
        <v>0</v>
      </c>
      <c r="Z9" s="129">
        <f>1/6</f>
        <v>0.16666666666666666</v>
      </c>
      <c r="AA9" s="157">
        <v>1500</v>
      </c>
      <c r="AB9" s="346"/>
      <c r="AG9" s="119">
        <v>43.75</v>
      </c>
    </row>
    <row r="10" spans="1:33" ht="15" customHeight="1">
      <c r="A10" s="18" t="s">
        <v>10</v>
      </c>
      <c r="B10" s="246"/>
      <c r="C10" s="183">
        <f t="shared" si="0"/>
        <v>0</v>
      </c>
      <c r="D10" s="22" t="str">
        <f>IF(B10&lt;&gt;0,B10*10,"")</f>
        <v/>
      </c>
      <c r="E10" s="113">
        <f>INT(AA10*0.9^S3*0.995^S5)</f>
        <v>1000</v>
      </c>
      <c r="F10" s="113" t="e">
        <f t="shared" si="11"/>
        <v>#VALUE!</v>
      </c>
      <c r="G10" s="344"/>
      <c r="H10" s="147" t="e">
        <f t="shared" si="6"/>
        <v>#VALUE!</v>
      </c>
      <c r="I10" s="19" t="str">
        <f t="shared" si="1"/>
        <v/>
      </c>
      <c r="J10" s="19" t="str">
        <f t="shared" si="7"/>
        <v/>
      </c>
      <c r="K10" s="231" t="str">
        <f t="shared" si="2"/>
        <v/>
      </c>
      <c r="L10" s="231" t="str">
        <f t="shared" si="8"/>
        <v/>
      </c>
      <c r="M10" s="152" t="str">
        <f t="shared" si="9"/>
        <v/>
      </c>
      <c r="N10" s="20" t="str">
        <f t="shared" si="3"/>
        <v/>
      </c>
      <c r="O10" s="20" t="str">
        <f t="shared" si="10"/>
        <v/>
      </c>
      <c r="P10" s="288"/>
      <c r="Q10" s="15"/>
      <c r="R10" s="292"/>
      <c r="S10" s="376"/>
      <c r="U10" s="18" t="s">
        <v>10</v>
      </c>
      <c r="V10" s="246"/>
      <c r="W10" s="296" t="str">
        <f t="shared" si="4"/>
        <v/>
      </c>
      <c r="X10" s="270" t="str">
        <f t="shared" si="5"/>
        <v/>
      </c>
      <c r="Y10" s="129">
        <f>TRUNC(S8/Z10,0)</f>
        <v>0</v>
      </c>
      <c r="Z10" s="129">
        <f>1/4</f>
        <v>0.25</v>
      </c>
      <c r="AA10" s="157">
        <v>1000</v>
      </c>
      <c r="AB10" s="346"/>
      <c r="AG10" s="119">
        <v>14.875</v>
      </c>
    </row>
    <row r="11" spans="1:33">
      <c r="A11" s="18" t="s">
        <v>11</v>
      </c>
      <c r="B11" s="246"/>
      <c r="C11" s="183">
        <f t="shared" si="0"/>
        <v>0</v>
      </c>
      <c r="D11" s="22" t="str">
        <f>IF(B11&lt;&gt;0,B11*50,"")</f>
        <v/>
      </c>
      <c r="E11" s="113">
        <f>INT(AA11*0.9^S4*0.995^S5)</f>
        <v>3000</v>
      </c>
      <c r="F11" s="113" t="e">
        <f t="shared" si="11"/>
        <v>#VALUE!</v>
      </c>
      <c r="G11" s="344"/>
      <c r="H11" s="147" t="e">
        <f t="shared" si="6"/>
        <v>#VALUE!</v>
      </c>
      <c r="I11" s="19" t="str">
        <f t="shared" si="1"/>
        <v/>
      </c>
      <c r="J11" s="19" t="str">
        <f t="shared" si="7"/>
        <v/>
      </c>
      <c r="K11" s="231" t="str">
        <f t="shared" si="2"/>
        <v/>
      </c>
      <c r="L11" s="231" t="str">
        <f t="shared" si="8"/>
        <v/>
      </c>
      <c r="M11" s="152" t="str">
        <f t="shared" si="9"/>
        <v/>
      </c>
      <c r="N11" s="20" t="str">
        <f t="shared" si="3"/>
        <v/>
      </c>
      <c r="O11" s="20" t="str">
        <f t="shared" si="10"/>
        <v/>
      </c>
      <c r="P11" s="288"/>
      <c r="Q11" s="15"/>
      <c r="R11" s="292"/>
      <c r="S11" s="376"/>
      <c r="U11" s="18" t="s">
        <v>11</v>
      </c>
      <c r="V11" s="246"/>
      <c r="W11" s="296" t="str">
        <f t="shared" si="4"/>
        <v/>
      </c>
      <c r="X11" s="270" t="str">
        <f t="shared" si="5"/>
        <v/>
      </c>
      <c r="Y11" s="129">
        <f>TRUNC(S8/Z11,0)</f>
        <v>0</v>
      </c>
      <c r="Z11" s="129">
        <f>1/5</f>
        <v>0.2</v>
      </c>
      <c r="AA11" s="157">
        <v>3000</v>
      </c>
      <c r="AB11" s="346"/>
      <c r="AG11" s="119">
        <v>50</v>
      </c>
    </row>
    <row r="12" spans="1:33">
      <c r="A12" s="18" t="s">
        <v>35</v>
      </c>
      <c r="B12" s="246"/>
      <c r="C12" s="183">
        <f t="shared" si="0"/>
        <v>0</v>
      </c>
      <c r="D12" s="22" t="str">
        <f>IF(B12&lt;&gt;0,B12*100,"")</f>
        <v/>
      </c>
      <c r="E12" s="113">
        <f>INT(AA12*0.9^S4*0.995^S5)</f>
        <v>4500</v>
      </c>
      <c r="F12" s="113" t="e">
        <f t="shared" si="11"/>
        <v>#VALUE!</v>
      </c>
      <c r="G12" s="344"/>
      <c r="H12" s="147" t="e">
        <f t="shared" si="6"/>
        <v>#VALUE!</v>
      </c>
      <c r="I12" s="19" t="str">
        <f t="shared" si="1"/>
        <v/>
      </c>
      <c r="J12" s="19" t="str">
        <f t="shared" si="7"/>
        <v/>
      </c>
      <c r="K12" s="231" t="str">
        <f t="shared" si="2"/>
        <v/>
      </c>
      <c r="L12" s="231" t="str">
        <f t="shared" si="8"/>
        <v/>
      </c>
      <c r="M12" s="152" t="str">
        <f t="shared" si="9"/>
        <v/>
      </c>
      <c r="N12" s="20" t="str">
        <f t="shared" si="3"/>
        <v/>
      </c>
      <c r="O12" s="20" t="str">
        <f t="shared" si="10"/>
        <v/>
      </c>
      <c r="P12" s="288"/>
      <c r="Q12" s="15"/>
      <c r="R12" s="16"/>
      <c r="U12" s="18" t="s">
        <v>35</v>
      </c>
      <c r="V12" s="246"/>
      <c r="W12" s="296" t="str">
        <f t="shared" si="4"/>
        <v/>
      </c>
      <c r="X12" s="270" t="str">
        <f t="shared" si="5"/>
        <v/>
      </c>
      <c r="Y12" s="129">
        <f>TRUNC(S8/Z12,0)</f>
        <v>0</v>
      </c>
      <c r="Z12" s="129">
        <f>1/10</f>
        <v>0.1</v>
      </c>
      <c r="AA12" s="157">
        <v>4500</v>
      </c>
      <c r="AB12" s="346"/>
      <c r="AG12" s="119">
        <v>68.75</v>
      </c>
    </row>
    <row r="13" spans="1:33" ht="15.75" thickBot="1">
      <c r="A13" s="27" t="s">
        <v>12</v>
      </c>
      <c r="B13" s="247"/>
      <c r="C13" s="184">
        <f t="shared" si="0"/>
        <v>0</v>
      </c>
      <c r="D13" s="31" t="str">
        <f>IF(B13&lt;&gt;0,B13*250,"")</f>
        <v/>
      </c>
      <c r="E13" s="139">
        <f>INT(AA13*0.9^S4*0.995^S5)</f>
        <v>6000</v>
      </c>
      <c r="F13" s="139" t="e">
        <f>H13</f>
        <v>#VALUE!</v>
      </c>
      <c r="G13" s="345"/>
      <c r="H13" s="148" t="e">
        <f t="shared" si="6"/>
        <v>#VALUE!</v>
      </c>
      <c r="I13" s="29" t="str">
        <f t="shared" si="1"/>
        <v/>
      </c>
      <c r="J13" s="29" t="str">
        <f t="shared" si="7"/>
        <v/>
      </c>
      <c r="K13" s="232" t="str">
        <f t="shared" si="2"/>
        <v/>
      </c>
      <c r="L13" s="232" t="str">
        <f t="shared" si="8"/>
        <v/>
      </c>
      <c r="M13" s="153" t="str">
        <f t="shared" si="9"/>
        <v/>
      </c>
      <c r="N13" s="30" t="str">
        <f t="shared" si="3"/>
        <v/>
      </c>
      <c r="O13" s="30" t="str">
        <f t="shared" si="10"/>
        <v/>
      </c>
      <c r="P13" s="288"/>
      <c r="Q13" s="15"/>
      <c r="R13" s="16"/>
      <c r="U13" s="27" t="s">
        <v>12</v>
      </c>
      <c r="V13" s="247"/>
      <c r="W13" s="297" t="str">
        <f t="shared" si="4"/>
        <v/>
      </c>
      <c r="X13" s="31" t="str">
        <f t="shared" si="5"/>
        <v/>
      </c>
      <c r="Y13" s="129">
        <f>TRUNC(S8/Z13,0)</f>
        <v>0</v>
      </c>
      <c r="Z13" s="129">
        <f>1/8</f>
        <v>0.125</v>
      </c>
      <c r="AA13" s="157">
        <v>6000</v>
      </c>
      <c r="AB13" s="346"/>
      <c r="AG13" s="119">
        <v>145</v>
      </c>
    </row>
    <row r="14" spans="1:33" ht="16.5" thickTop="1" thickBot="1">
      <c r="A14" s="32" t="s">
        <v>13</v>
      </c>
      <c r="B14" s="33" t="str">
        <f>IF(SUM(B2:B13)&lt;&gt;0,SUM(B2:B13),"")</f>
        <v/>
      </c>
      <c r="C14" s="185">
        <f>SUM(C2:C13)</f>
        <v>0</v>
      </c>
      <c r="D14" s="186" t="str">
        <f>IF(SUM(D2:D13)&lt;&gt;0,SUM(D2:D13),"")</f>
        <v/>
      </c>
      <c r="J14" s="62"/>
      <c r="K14" s="34" t="str">
        <f t="shared" si="2"/>
        <v/>
      </c>
      <c r="L14" s="34" t="str">
        <f>IF(M14&lt;0,"",K14)</f>
        <v/>
      </c>
      <c r="M14" s="188" t="str">
        <f>IF(ISERROR((IF(SUM(M2:M13)&lt;&gt;0,SUM(M2:M13),""))),"",(IF(SUM(M2:M13)&lt;&gt;0,SUM(M2:M13),"")))</f>
        <v/>
      </c>
      <c r="N14" s="189" t="str">
        <f>IF(SUM(O2:O13)&lt;&gt;0,SUM(O2:O13),"")</f>
        <v/>
      </c>
      <c r="O14" s="189" t="str">
        <f>IF(SUM(O2:O13)&lt;&gt;0,SUM(O2:O13),"")</f>
        <v/>
      </c>
      <c r="P14" s="289"/>
      <c r="V14" s="36" t="str">
        <f>IF(SUM(V2:V13)&lt;&gt;0,SUM(V2:V13),"")</f>
        <v/>
      </c>
      <c r="W14" s="298" t="str">
        <f>IF(SUM(W2:W13)&lt;&gt;0,SUM(W2:W13),"")</f>
        <v/>
      </c>
      <c r="X14" s="186">
        <f>IF(ISERROR((SUM(X2:X13))),"",(SUM(X2:X13)))</f>
        <v>0</v>
      </c>
    </row>
    <row r="15" spans="1:33" ht="16.5" thickTop="1" thickBot="1">
      <c r="A15" s="64"/>
      <c r="H15" s="149"/>
      <c r="I15" s="149"/>
      <c r="J15" s="63"/>
      <c r="K15" s="63"/>
    </row>
    <row r="16" spans="1:33" ht="16.5" customHeight="1" thickTop="1" thickBot="1">
      <c r="A16" s="45" t="s">
        <v>29</v>
      </c>
      <c r="B16" s="38" t="s">
        <v>14</v>
      </c>
      <c r="D16" s="253"/>
      <c r="E16" s="140"/>
      <c r="J16" s="39"/>
      <c r="K16" s="39"/>
      <c r="L16" s="343" t="s">
        <v>40</v>
      </c>
      <c r="M16" s="343"/>
      <c r="N16" s="343"/>
      <c r="O16" s="343"/>
      <c r="P16" s="244"/>
      <c r="R16" s="40"/>
    </row>
    <row r="17" spans="1:27" ht="16.5" customHeight="1" thickTop="1" thickBot="1">
      <c r="A17" s="49"/>
      <c r="B17" s="41" t="s">
        <v>16</v>
      </c>
      <c r="D17" s="42" t="str">
        <f>IF(ISERROR(IF(D14-D16&lt;0,"None",D14-D16)),"",(IF(D14-D16&lt;0,"None",D14-D16)))</f>
        <v/>
      </c>
      <c r="E17" s="141"/>
      <c r="H17" s="119"/>
      <c r="I17" s="119"/>
      <c r="J17" s="21" t="s">
        <v>17</v>
      </c>
      <c r="K17" s="272"/>
      <c r="L17" s="254"/>
      <c r="R17" s="16"/>
      <c r="S17" s="343" t="s">
        <v>30</v>
      </c>
      <c r="T17" s="343"/>
      <c r="U17" s="343"/>
    </row>
    <row r="18" spans="1:27" ht="16.5" customHeight="1" thickTop="1" thickBot="1">
      <c r="B18" s="43" t="s">
        <v>15</v>
      </c>
      <c r="D18" s="44" t="str">
        <f>IF(ISERROR(IF(D17="None","None",D17*24)),"",IF(D17="None","None",D17*24))</f>
        <v/>
      </c>
      <c r="E18" s="141"/>
      <c r="J18" s="26" t="s">
        <v>18</v>
      </c>
      <c r="K18" s="273"/>
      <c r="L18" s="255"/>
      <c r="R18" s="16"/>
      <c r="S18" s="46" t="str">
        <f>IF(ISERROR(L17*19000000+L18*3000000-D18),"",L17*19000000+L18*3000000-D18)</f>
        <v/>
      </c>
      <c r="T18" s="347" t="s">
        <v>31</v>
      </c>
      <c r="U18" s="347"/>
      <c r="V18" s="47"/>
      <c r="W18" s="48"/>
    </row>
    <row r="19" spans="1:27" ht="16.5" customHeight="1" thickTop="1" thickBot="1">
      <c r="A19" s="45" t="s">
        <v>28</v>
      </c>
      <c r="E19" s="125"/>
      <c r="J19" s="49"/>
      <c r="K19" s="49"/>
      <c r="L19" s="343" t="s">
        <v>41</v>
      </c>
      <c r="M19" s="343"/>
      <c r="N19" s="343"/>
      <c r="O19" s="343"/>
      <c r="P19" s="244"/>
      <c r="R19" s="50"/>
      <c r="S19" s="50"/>
      <c r="T19" s="50"/>
    </row>
    <row r="20" spans="1:27" ht="15.75" customHeight="1" thickTop="1">
      <c r="A20" s="58"/>
      <c r="B20" s="51" t="s">
        <v>26</v>
      </c>
      <c r="D20" s="52" t="str">
        <f>IF(ISERROR(D18/19000000),"",D18/19000000)</f>
        <v/>
      </c>
      <c r="E20" s="125"/>
      <c r="H20" s="119"/>
      <c r="I20" s="119"/>
      <c r="J20" s="53" t="s">
        <v>17</v>
      </c>
      <c r="K20" s="274"/>
      <c r="L20" s="54" t="str">
        <f>IF(ISERROR(IF(S18&lt;0,INT(S18/(-19000000))+1,"Nil")),"",IF(S18&lt;0,INT(S18/(-19000000))+1,"Nil"))</f>
        <v>Nil</v>
      </c>
      <c r="R20" s="55"/>
    </row>
    <row r="21" spans="1:27" ht="15.75" customHeight="1" thickBot="1">
      <c r="A21" s="58"/>
      <c r="B21" s="43" t="s">
        <v>27</v>
      </c>
      <c r="D21" s="44" t="str">
        <f>IF(ISERROR(D18/3000000),"",D18/3000000)</f>
        <v/>
      </c>
      <c r="E21" s="125"/>
      <c r="J21" s="56" t="s">
        <v>18</v>
      </c>
      <c r="K21" s="108"/>
      <c r="L21" s="57" t="str">
        <f>IF(ISERROR(IF(S18&lt;0,INT(S18/(-3000000))+1,"Nil")),"",IF(S18&lt;0,INT(S18/(-3000000))+1,"Nil"))</f>
        <v>Nil</v>
      </c>
      <c r="R21" s="55"/>
    </row>
    <row r="22" spans="1:27" ht="15.75" customHeight="1" thickTop="1">
      <c r="A22" s="58"/>
      <c r="AA22" s="158"/>
    </row>
    <row r="23" spans="1:27" s="119" customFormat="1" hidden="1">
      <c r="B23" s="121"/>
      <c r="C23" s="122"/>
      <c r="D23" s="123"/>
      <c r="E23" s="113"/>
      <c r="F23" s="113"/>
      <c r="G23" s="113"/>
      <c r="H23" s="113"/>
      <c r="I23" s="113"/>
      <c r="J23" s="124" t="s">
        <v>38</v>
      </c>
      <c r="K23" s="124"/>
      <c r="L23" s="124"/>
      <c r="M23" s="125" t="s">
        <v>42</v>
      </c>
      <c r="N23" s="125"/>
      <c r="O23" s="125" t="s">
        <v>44</v>
      </c>
      <c r="P23" s="125"/>
      <c r="W23" s="120"/>
    </row>
    <row r="24" spans="1:27" s="119" customFormat="1" hidden="1">
      <c r="A24" s="126"/>
      <c r="B24" s="126"/>
      <c r="C24" s="127"/>
      <c r="D24" s="128"/>
      <c r="E24" s="113"/>
      <c r="F24" s="113"/>
      <c r="G24" s="113"/>
      <c r="H24" s="113"/>
      <c r="I24" s="113"/>
      <c r="J24" s="124" t="str">
        <f>IF(ISERROR(((W2*Z2))),"",((W2*Z2)))</f>
        <v/>
      </c>
      <c r="K24" s="124"/>
      <c r="L24" s="124"/>
      <c r="M24" s="129" t="e">
        <f>ROUNDUP(IF(W2*Z2&lt;S8,W2*Z2/S6,S8/S6),0)</f>
        <v>#VALUE!</v>
      </c>
      <c r="N24" s="129"/>
      <c r="O24" s="129" t="str">
        <f t="shared" ref="O24:O35" si="12">IF(ISERROR((ROUNDUP(W2/M24,0))),"",(ROUNDUP(W2/M24,0)))</f>
        <v/>
      </c>
      <c r="P24" s="129"/>
      <c r="R24" s="119" t="e">
        <f>ROUNDUP(O24/S6,0)</f>
        <v>#VALUE!</v>
      </c>
      <c r="S24" s="123"/>
      <c r="T24" s="127"/>
      <c r="U24" s="127"/>
      <c r="W24" s="120"/>
    </row>
    <row r="25" spans="1:27" s="119" customFormat="1" hidden="1">
      <c r="E25" s="113"/>
      <c r="F25" s="113"/>
      <c r="G25" s="113"/>
      <c r="H25" s="113"/>
      <c r="I25" s="113"/>
      <c r="J25" s="124" t="str">
        <f t="shared" ref="J25:J35" si="13">IF(ISERROR(((W3*Z3))),"",((W3*Z3)))</f>
        <v/>
      </c>
      <c r="K25" s="124"/>
      <c r="L25" s="124"/>
      <c r="M25" s="129" t="e">
        <f>ROUNDUP(IF(W3*Z3&lt;S8,W3*Z3/S6,S8/S6),0)</f>
        <v>#VALUE!</v>
      </c>
      <c r="N25" s="129"/>
      <c r="O25" s="129" t="str">
        <f t="shared" si="12"/>
        <v/>
      </c>
      <c r="P25" s="129"/>
      <c r="R25" s="119" t="e">
        <f>ROUNDUP(O25/S6,0)</f>
        <v>#VALUE!</v>
      </c>
      <c r="W25" s="120"/>
    </row>
    <row r="26" spans="1:27" s="119" customFormat="1" hidden="1">
      <c r="E26" s="113"/>
      <c r="F26" s="113"/>
      <c r="G26" s="123"/>
      <c r="J26" s="124" t="str">
        <f t="shared" si="13"/>
        <v/>
      </c>
      <c r="K26" s="124"/>
      <c r="L26" s="129"/>
      <c r="M26" s="129" t="e">
        <f>ROUNDUP(IF(W4*Z4&lt;S8,W4*Z4/S6,S8/S6),0)</f>
        <v>#VALUE!</v>
      </c>
      <c r="N26" s="129"/>
      <c r="O26" s="129" t="str">
        <f t="shared" si="12"/>
        <v/>
      </c>
      <c r="P26" s="129"/>
      <c r="R26" s="119" t="e">
        <f>ROUNDUP(O26/S6,0)</f>
        <v>#VALUE!</v>
      </c>
      <c r="W26" s="120"/>
    </row>
    <row r="27" spans="1:27" s="119" customFormat="1" hidden="1">
      <c r="E27" s="113"/>
      <c r="F27" s="113"/>
      <c r="G27" s="123"/>
      <c r="J27" s="124" t="str">
        <f t="shared" si="13"/>
        <v/>
      </c>
      <c r="K27" s="124"/>
      <c r="L27" s="129"/>
      <c r="M27" s="129" t="e">
        <f>ROUNDUP(IF(W5*Z5&lt;S8,W5*Z5/S6,S8/S6),0)</f>
        <v>#VALUE!</v>
      </c>
      <c r="N27" s="129"/>
      <c r="O27" s="129" t="str">
        <f t="shared" si="12"/>
        <v/>
      </c>
      <c r="P27" s="129"/>
      <c r="R27" s="119" t="e">
        <f>ROUNDUP(O27/S6,0)</f>
        <v>#VALUE!</v>
      </c>
      <c r="W27" s="120"/>
    </row>
    <row r="28" spans="1:27" s="119" customFormat="1" hidden="1">
      <c r="E28" s="113"/>
      <c r="F28" s="113"/>
      <c r="G28" s="123"/>
      <c r="J28" s="124" t="str">
        <f t="shared" si="13"/>
        <v/>
      </c>
      <c r="K28" s="124"/>
      <c r="L28" s="129"/>
      <c r="M28" s="129" t="e">
        <f>ROUNDUP(IF(W6*Z6&lt;S8,W6*Z6/S6,S8/S6),0)</f>
        <v>#VALUE!</v>
      </c>
      <c r="N28" s="129"/>
      <c r="O28" s="129" t="str">
        <f t="shared" si="12"/>
        <v/>
      </c>
      <c r="P28" s="129"/>
      <c r="R28" s="119" t="e">
        <f>ROUNDUP(O28/S6,0)</f>
        <v>#VALUE!</v>
      </c>
      <c r="W28" s="120"/>
    </row>
    <row r="29" spans="1:27" s="119" customFormat="1" hidden="1">
      <c r="E29" s="113"/>
      <c r="F29" s="113"/>
      <c r="G29" s="123"/>
      <c r="J29" s="124" t="str">
        <f t="shared" si="13"/>
        <v/>
      </c>
      <c r="K29" s="124"/>
      <c r="L29" s="129"/>
      <c r="M29" s="129" t="e">
        <f>ROUNDUP(IF(W7*Z7&lt;S8,W7*Z7/S6,S8/S6),0)</f>
        <v>#VALUE!</v>
      </c>
      <c r="N29" s="129"/>
      <c r="O29" s="129" t="str">
        <f t="shared" si="12"/>
        <v/>
      </c>
      <c r="P29" s="129"/>
      <c r="R29" s="119" t="e">
        <f>ROUNDUP(O29/S6,0)</f>
        <v>#VALUE!</v>
      </c>
      <c r="W29" s="120"/>
    </row>
    <row r="30" spans="1:27" s="119" customFormat="1" hidden="1">
      <c r="E30" s="113"/>
      <c r="F30" s="113"/>
      <c r="G30" s="123"/>
      <c r="J30" s="124" t="str">
        <f t="shared" si="13"/>
        <v/>
      </c>
      <c r="K30" s="124"/>
      <c r="L30" s="129"/>
      <c r="M30" s="129" t="e">
        <f>ROUNDUP(IF(W8*Z8&lt;S8,W8*Z8/S6,S8/S6),0)</f>
        <v>#VALUE!</v>
      </c>
      <c r="N30" s="129"/>
      <c r="O30" s="129" t="str">
        <f t="shared" si="12"/>
        <v/>
      </c>
      <c r="P30" s="129"/>
      <c r="R30" s="119" t="e">
        <f>ROUNDUP(O30/S6,0)</f>
        <v>#VALUE!</v>
      </c>
      <c r="W30" s="120"/>
    </row>
    <row r="31" spans="1:27" s="119" customFormat="1" hidden="1">
      <c r="E31" s="113"/>
      <c r="F31" s="113"/>
      <c r="G31" s="123"/>
      <c r="J31" s="124" t="str">
        <f t="shared" si="13"/>
        <v/>
      </c>
      <c r="K31" s="124"/>
      <c r="L31" s="129"/>
      <c r="M31" s="129" t="e">
        <f>ROUNDUP(IF(W9*Z9&lt;S8,W9*Z9/S6,S8/S6),0)</f>
        <v>#VALUE!</v>
      </c>
      <c r="N31" s="129"/>
      <c r="O31" s="129" t="str">
        <f t="shared" si="12"/>
        <v/>
      </c>
      <c r="P31" s="129"/>
      <c r="R31" s="119" t="e">
        <f>ROUNDUP(O31/S6,0)</f>
        <v>#VALUE!</v>
      </c>
      <c r="W31" s="120"/>
    </row>
    <row r="32" spans="1:27" s="119" customFormat="1" hidden="1">
      <c r="E32" s="113"/>
      <c r="F32" s="113"/>
      <c r="G32" s="123"/>
      <c r="J32" s="124" t="str">
        <f t="shared" si="13"/>
        <v/>
      </c>
      <c r="K32" s="124"/>
      <c r="L32" s="129"/>
      <c r="M32" s="129" t="e">
        <f>ROUNDUP(IF(W10*Z10&lt;S8,W10*Z10/S6,S8/S6),0)</f>
        <v>#VALUE!</v>
      </c>
      <c r="N32" s="129"/>
      <c r="O32" s="129" t="str">
        <f t="shared" si="12"/>
        <v/>
      </c>
      <c r="P32" s="129"/>
      <c r="R32" s="119" t="e">
        <f>ROUNDUP(O32/S6,0)</f>
        <v>#VALUE!</v>
      </c>
      <c r="W32" s="120"/>
    </row>
    <row r="33" spans="2:29" s="119" customFormat="1" hidden="1">
      <c r="E33" s="113"/>
      <c r="F33" s="113"/>
      <c r="G33" s="123"/>
      <c r="J33" s="124" t="str">
        <f t="shared" si="13"/>
        <v/>
      </c>
      <c r="K33" s="124"/>
      <c r="L33" s="129"/>
      <c r="M33" s="129" t="e">
        <f>ROUNDUP(IF(W11*Z11&lt;S8,W11*Z11/S6,S8/S6),0)</f>
        <v>#VALUE!</v>
      </c>
      <c r="N33" s="129"/>
      <c r="O33" s="129" t="str">
        <f t="shared" si="12"/>
        <v/>
      </c>
      <c r="P33" s="129"/>
      <c r="R33" s="119" t="e">
        <f>ROUNDUP(O33/S6,0)</f>
        <v>#VALUE!</v>
      </c>
      <c r="W33" s="120"/>
    </row>
    <row r="34" spans="2:29" s="119" customFormat="1" hidden="1">
      <c r="E34" s="113"/>
      <c r="F34" s="113"/>
      <c r="G34" s="123"/>
      <c r="J34" s="124" t="str">
        <f t="shared" si="13"/>
        <v/>
      </c>
      <c r="K34" s="124"/>
      <c r="L34" s="129"/>
      <c r="M34" s="129" t="e">
        <f>ROUNDUP(IF(W12*Z12&lt;S8,W12*Z12/S6,S8/S6),0)</f>
        <v>#VALUE!</v>
      </c>
      <c r="N34" s="129"/>
      <c r="O34" s="129" t="str">
        <f t="shared" si="12"/>
        <v/>
      </c>
      <c r="P34" s="129"/>
      <c r="R34" s="119" t="e">
        <f>ROUNDUP(O34/S6,0)</f>
        <v>#VALUE!</v>
      </c>
      <c r="W34" s="120"/>
    </row>
    <row r="35" spans="2:29" s="119" customFormat="1" hidden="1">
      <c r="E35" s="113"/>
      <c r="F35" s="113"/>
      <c r="G35" s="113"/>
      <c r="H35" s="113"/>
      <c r="I35" s="113"/>
      <c r="J35" s="124" t="str">
        <f t="shared" si="13"/>
        <v/>
      </c>
      <c r="K35" s="124"/>
      <c r="L35" s="124"/>
      <c r="M35" s="129" t="e">
        <f>ROUNDUP(IF(W13*Z13&lt;S8,W13*Z13/S6,S8/S6),0)</f>
        <v>#VALUE!</v>
      </c>
      <c r="N35" s="129"/>
      <c r="O35" s="129" t="str">
        <f t="shared" si="12"/>
        <v/>
      </c>
      <c r="P35" s="129"/>
      <c r="R35" s="119" t="e">
        <f>ROUNDUP(O35/S6,0)</f>
        <v>#VALUE!</v>
      </c>
      <c r="W35" s="120"/>
    </row>
    <row r="36" spans="2:29">
      <c r="J36" s="59"/>
      <c r="K36" s="60"/>
      <c r="L36" s="60"/>
      <c r="M36" s="129"/>
      <c r="N36" s="129"/>
      <c r="O36" s="61"/>
      <c r="P36" s="61"/>
    </row>
    <row r="37" spans="2:29" ht="15.75" thickBot="1">
      <c r="J37" s="65"/>
      <c r="K37" s="65"/>
      <c r="L37" s="65"/>
      <c r="M37" s="129"/>
      <c r="N37" s="129"/>
      <c r="O37" s="66"/>
      <c r="P37" s="66"/>
      <c r="Y37" s="307" t="s">
        <v>54</v>
      </c>
      <c r="Z37" s="307"/>
      <c r="AA37" s="307"/>
      <c r="AB37" s="307"/>
    </row>
    <row r="38" spans="2:29" ht="15" customHeight="1" thickTop="1" thickBot="1">
      <c r="B38" s="8" t="s">
        <v>0</v>
      </c>
      <c r="D38" s="167" t="s">
        <v>34</v>
      </c>
      <c r="G38" s="68"/>
      <c r="H38" s="150"/>
      <c r="I38" s="150"/>
      <c r="J38" s="69" t="s">
        <v>49</v>
      </c>
      <c r="K38" s="69"/>
      <c r="L38" s="70" t="s">
        <v>50</v>
      </c>
      <c r="M38" s="176"/>
      <c r="N38" s="176"/>
      <c r="O38" s="70" t="s">
        <v>51</v>
      </c>
      <c r="P38" s="241"/>
      <c r="Q38" s="328" t="s">
        <v>52</v>
      </c>
      <c r="R38" s="329"/>
      <c r="S38" s="58"/>
      <c r="U38" s="8" t="s">
        <v>0</v>
      </c>
      <c r="V38" s="81" t="s">
        <v>60</v>
      </c>
      <c r="W38" s="80"/>
      <c r="Y38" s="159" t="s">
        <v>0</v>
      </c>
      <c r="Z38" s="125" t="s">
        <v>49</v>
      </c>
      <c r="AA38" s="125" t="s">
        <v>50</v>
      </c>
      <c r="AB38" s="125" t="s">
        <v>51</v>
      </c>
      <c r="AC38" s="125" t="s">
        <v>52</v>
      </c>
    </row>
    <row r="39" spans="2:29" ht="15.75" customHeight="1" thickTop="1">
      <c r="B39" s="10" t="s">
        <v>2</v>
      </c>
      <c r="D39" s="11" t="str">
        <f t="shared" ref="D39:D50" si="14">IF(C2&lt;&gt;0,IF(C2&lt;0,0,C2),"")</f>
        <v/>
      </c>
      <c r="G39" s="344" t="s">
        <v>53</v>
      </c>
      <c r="H39" s="146"/>
      <c r="I39" s="71"/>
      <c r="J39" s="71" t="str">
        <f t="shared" ref="J39:J50" si="15">IF(D39="","",D39*Z39)</f>
        <v/>
      </c>
      <c r="K39" s="177"/>
      <c r="L39" s="177" t="str">
        <f t="shared" ref="L39:L50" si="16">IF(D39="","",D39*AA39)</f>
        <v/>
      </c>
      <c r="M39" s="176"/>
      <c r="N39" s="177"/>
      <c r="O39" s="177" t="str">
        <f t="shared" ref="O39:O50" si="17">IF(D39="","",D39*AB39)</f>
        <v/>
      </c>
      <c r="P39" s="290"/>
      <c r="Q39" s="322" t="str">
        <f>IF(D39="","",D39*AC39)</f>
        <v/>
      </c>
      <c r="R39" s="323" t="e">
        <f t="shared" ref="R39" si="18">IF(G39="","",G39*AE39)</f>
        <v>#VALUE!</v>
      </c>
      <c r="U39" s="10" t="s">
        <v>2</v>
      </c>
      <c r="V39" s="78" t="str">
        <f t="shared" ref="V39:V50" si="19">IF(Y52=0,"",Y52)</f>
        <v/>
      </c>
      <c r="W39" s="332" t="s">
        <v>63</v>
      </c>
      <c r="Y39" s="159" t="s">
        <v>2</v>
      </c>
      <c r="Z39" s="125">
        <v>50</v>
      </c>
      <c r="AA39" s="125">
        <v>150</v>
      </c>
      <c r="AB39" s="125">
        <v>0</v>
      </c>
      <c r="AC39" s="125">
        <v>10</v>
      </c>
    </row>
    <row r="40" spans="2:29">
      <c r="B40" s="18" t="s">
        <v>3</v>
      </c>
      <c r="D40" s="112" t="str">
        <f t="shared" si="14"/>
        <v/>
      </c>
      <c r="E40" s="135"/>
      <c r="F40" s="142"/>
      <c r="G40" s="344"/>
      <c r="H40" s="147"/>
      <c r="I40" s="72"/>
      <c r="J40" s="72" t="str">
        <f t="shared" si="15"/>
        <v/>
      </c>
      <c r="K40" s="73"/>
      <c r="L40" s="73" t="str">
        <f t="shared" si="16"/>
        <v/>
      </c>
      <c r="M40" s="176"/>
      <c r="N40" s="73"/>
      <c r="O40" s="73" t="str">
        <f t="shared" si="17"/>
        <v/>
      </c>
      <c r="P40" s="290"/>
      <c r="Q40" s="324" t="str">
        <f t="shared" ref="Q40:Q50" si="20">IF(D40="","",D40*AC40)</f>
        <v/>
      </c>
      <c r="R40" s="325" t="str">
        <f t="shared" ref="R40:R50" si="21">IF(G40="","",G40*AE40)</f>
        <v/>
      </c>
      <c r="S40" s="67"/>
      <c r="U40" s="18" t="s">
        <v>3</v>
      </c>
      <c r="V40" s="79" t="str">
        <f t="shared" si="19"/>
        <v/>
      </c>
      <c r="W40" s="332"/>
      <c r="Y40" s="159" t="s">
        <v>3</v>
      </c>
      <c r="Z40" s="125">
        <v>80</v>
      </c>
      <c r="AA40" s="125">
        <v>100</v>
      </c>
      <c r="AB40" s="125">
        <v>0</v>
      </c>
      <c r="AC40" s="125">
        <v>50</v>
      </c>
    </row>
    <row r="41" spans="2:29">
      <c r="B41" s="18" t="s">
        <v>4</v>
      </c>
      <c r="D41" s="112" t="str">
        <f t="shared" si="14"/>
        <v/>
      </c>
      <c r="E41" s="135"/>
      <c r="F41" s="142"/>
      <c r="G41" s="344"/>
      <c r="H41" s="147"/>
      <c r="I41" s="72"/>
      <c r="J41" s="72" t="str">
        <f t="shared" si="15"/>
        <v/>
      </c>
      <c r="K41" s="73"/>
      <c r="L41" s="73" t="str">
        <f t="shared" si="16"/>
        <v/>
      </c>
      <c r="M41" s="176"/>
      <c r="N41" s="73"/>
      <c r="O41" s="73" t="str">
        <f t="shared" si="17"/>
        <v/>
      </c>
      <c r="P41" s="290"/>
      <c r="Q41" s="324" t="str">
        <f t="shared" si="20"/>
        <v/>
      </c>
      <c r="R41" s="325" t="str">
        <f t="shared" si="21"/>
        <v/>
      </c>
      <c r="S41" s="67"/>
      <c r="U41" s="18" t="s">
        <v>4</v>
      </c>
      <c r="V41" s="79" t="str">
        <f t="shared" si="19"/>
        <v/>
      </c>
      <c r="W41" s="332"/>
      <c r="Y41" s="159" t="s">
        <v>4</v>
      </c>
      <c r="Z41" s="125">
        <v>120</v>
      </c>
      <c r="AA41" s="125">
        <v>200</v>
      </c>
      <c r="AB41" s="125">
        <v>0</v>
      </c>
      <c r="AC41" s="125">
        <v>150</v>
      </c>
    </row>
    <row r="42" spans="2:29" ht="15" customHeight="1">
      <c r="B42" s="18" t="s">
        <v>5</v>
      </c>
      <c r="D42" s="112" t="str">
        <f t="shared" si="14"/>
        <v/>
      </c>
      <c r="E42" s="135"/>
      <c r="F42" s="142"/>
      <c r="G42" s="344"/>
      <c r="H42" s="147"/>
      <c r="I42" s="72"/>
      <c r="J42" s="72" t="str">
        <f t="shared" si="15"/>
        <v/>
      </c>
      <c r="K42" s="73"/>
      <c r="L42" s="73" t="str">
        <f t="shared" si="16"/>
        <v/>
      </c>
      <c r="M42" s="176"/>
      <c r="N42" s="73"/>
      <c r="O42" s="73" t="str">
        <f t="shared" si="17"/>
        <v/>
      </c>
      <c r="P42" s="290"/>
      <c r="Q42" s="324" t="str">
        <f t="shared" si="20"/>
        <v/>
      </c>
      <c r="R42" s="325" t="str">
        <f t="shared" si="21"/>
        <v/>
      </c>
      <c r="S42" s="67"/>
      <c r="U42" s="18" t="s">
        <v>5</v>
      </c>
      <c r="V42" s="79" t="str">
        <f t="shared" si="19"/>
        <v/>
      </c>
      <c r="W42" s="332"/>
      <c r="Y42" s="159" t="s">
        <v>5</v>
      </c>
      <c r="Z42" s="125">
        <v>150</v>
      </c>
      <c r="AA42" s="125">
        <v>500</v>
      </c>
      <c r="AB42" s="125">
        <v>0</v>
      </c>
      <c r="AC42" s="125">
        <v>100</v>
      </c>
    </row>
    <row r="43" spans="2:29">
      <c r="B43" s="18" t="s">
        <v>6</v>
      </c>
      <c r="D43" s="112" t="str">
        <f t="shared" si="14"/>
        <v/>
      </c>
      <c r="E43" s="135"/>
      <c r="F43" s="142"/>
      <c r="G43" s="344"/>
      <c r="H43" s="147"/>
      <c r="I43" s="72"/>
      <c r="J43" s="72" t="str">
        <f t="shared" si="15"/>
        <v/>
      </c>
      <c r="K43" s="73"/>
      <c r="L43" s="73" t="str">
        <f t="shared" si="16"/>
        <v/>
      </c>
      <c r="M43" s="176"/>
      <c r="N43" s="73"/>
      <c r="O43" s="73" t="str">
        <f t="shared" si="17"/>
        <v/>
      </c>
      <c r="P43" s="290"/>
      <c r="Q43" s="324" t="str">
        <f t="shared" si="20"/>
        <v/>
      </c>
      <c r="R43" s="325" t="str">
        <f t="shared" si="21"/>
        <v/>
      </c>
      <c r="S43" s="67"/>
      <c r="U43" s="18" t="s">
        <v>6</v>
      </c>
      <c r="V43" s="79" t="str">
        <f t="shared" si="19"/>
        <v/>
      </c>
      <c r="W43" s="332"/>
      <c r="Y43" s="159" t="s">
        <v>6</v>
      </c>
      <c r="Z43" s="125">
        <v>200</v>
      </c>
      <c r="AA43" s="125">
        <v>150</v>
      </c>
      <c r="AB43" s="125">
        <v>0</v>
      </c>
      <c r="AC43" s="125">
        <v>400</v>
      </c>
    </row>
    <row r="44" spans="2:29">
      <c r="B44" s="18" t="s">
        <v>7</v>
      </c>
      <c r="D44" s="112" t="str">
        <f t="shared" si="14"/>
        <v/>
      </c>
      <c r="E44" s="135"/>
      <c r="F44" s="142"/>
      <c r="G44" s="344"/>
      <c r="H44" s="147"/>
      <c r="I44" s="72"/>
      <c r="J44" s="72" t="str">
        <f t="shared" si="15"/>
        <v/>
      </c>
      <c r="K44" s="73"/>
      <c r="L44" s="73" t="str">
        <f t="shared" si="16"/>
        <v/>
      </c>
      <c r="M44" s="176"/>
      <c r="N44" s="73"/>
      <c r="O44" s="73" t="str">
        <f t="shared" si="17"/>
        <v/>
      </c>
      <c r="P44" s="290"/>
      <c r="Q44" s="324" t="str">
        <f t="shared" si="20"/>
        <v/>
      </c>
      <c r="R44" s="325" t="str">
        <f t="shared" si="21"/>
        <v/>
      </c>
      <c r="S44" s="67"/>
      <c r="U44" s="18" t="s">
        <v>7</v>
      </c>
      <c r="V44" s="79" t="str">
        <f t="shared" si="19"/>
        <v/>
      </c>
      <c r="W44" s="332"/>
      <c r="Y44" s="159" t="s">
        <v>7</v>
      </c>
      <c r="Z44" s="125">
        <v>300</v>
      </c>
      <c r="AA44" s="125">
        <v>350</v>
      </c>
      <c r="AB44" s="125">
        <v>0</v>
      </c>
      <c r="AC44" s="125">
        <v>300</v>
      </c>
    </row>
    <row r="45" spans="2:29">
      <c r="B45" s="18" t="s">
        <v>8</v>
      </c>
      <c r="D45" s="112" t="str">
        <f t="shared" si="14"/>
        <v/>
      </c>
      <c r="E45" s="135"/>
      <c r="F45" s="142"/>
      <c r="G45" s="344"/>
      <c r="H45" s="147"/>
      <c r="I45" s="72"/>
      <c r="J45" s="72" t="str">
        <f t="shared" si="15"/>
        <v/>
      </c>
      <c r="K45" s="73"/>
      <c r="L45" s="73" t="str">
        <f t="shared" si="16"/>
        <v/>
      </c>
      <c r="M45" s="176"/>
      <c r="N45" s="73"/>
      <c r="O45" s="73" t="str">
        <f t="shared" si="17"/>
        <v/>
      </c>
      <c r="P45" s="290"/>
      <c r="Q45" s="324" t="str">
        <f t="shared" si="20"/>
        <v/>
      </c>
      <c r="R45" s="325" t="str">
        <f t="shared" si="21"/>
        <v/>
      </c>
      <c r="S45" s="67"/>
      <c r="U45" s="18" t="s">
        <v>8</v>
      </c>
      <c r="V45" s="79" t="str">
        <f t="shared" si="19"/>
        <v/>
      </c>
      <c r="W45" s="332"/>
      <c r="Y45" s="159" t="s">
        <v>8</v>
      </c>
      <c r="Z45" s="125">
        <v>1000</v>
      </c>
      <c r="AA45" s="125">
        <v>600</v>
      </c>
      <c r="AB45" s="125">
        <v>0</v>
      </c>
      <c r="AC45" s="125">
        <v>500</v>
      </c>
    </row>
    <row r="46" spans="2:29">
      <c r="B46" s="18" t="s">
        <v>9</v>
      </c>
      <c r="D46" s="112" t="str">
        <f t="shared" si="14"/>
        <v/>
      </c>
      <c r="E46" s="135"/>
      <c r="F46" s="142"/>
      <c r="G46" s="344"/>
      <c r="H46" s="147"/>
      <c r="I46" s="72"/>
      <c r="J46" s="72" t="str">
        <f t="shared" si="15"/>
        <v/>
      </c>
      <c r="K46" s="73"/>
      <c r="L46" s="73" t="str">
        <f t="shared" si="16"/>
        <v/>
      </c>
      <c r="M46" s="176"/>
      <c r="N46" s="73"/>
      <c r="O46" s="73" t="str">
        <f t="shared" si="17"/>
        <v/>
      </c>
      <c r="P46" s="290"/>
      <c r="Q46" s="324" t="str">
        <f t="shared" si="20"/>
        <v/>
      </c>
      <c r="R46" s="325" t="str">
        <f t="shared" si="21"/>
        <v/>
      </c>
      <c r="S46" s="67"/>
      <c r="U46" s="18" t="s">
        <v>9</v>
      </c>
      <c r="V46" s="79" t="str">
        <f t="shared" si="19"/>
        <v/>
      </c>
      <c r="W46" s="332"/>
      <c r="Y46" s="159" t="s">
        <v>9</v>
      </c>
      <c r="Z46" s="125">
        <v>2000</v>
      </c>
      <c r="AA46" s="125">
        <v>500</v>
      </c>
      <c r="AB46" s="125">
        <v>0</v>
      </c>
      <c r="AC46" s="125">
        <v>2500</v>
      </c>
    </row>
    <row r="47" spans="2:29">
      <c r="B47" s="18" t="s">
        <v>10</v>
      </c>
      <c r="D47" s="112" t="str">
        <f t="shared" si="14"/>
        <v/>
      </c>
      <c r="E47" s="135"/>
      <c r="F47" s="142"/>
      <c r="G47" s="344"/>
      <c r="H47" s="147"/>
      <c r="I47" s="72"/>
      <c r="J47" s="72" t="str">
        <f t="shared" si="15"/>
        <v/>
      </c>
      <c r="K47" s="73"/>
      <c r="L47" s="73" t="str">
        <f t="shared" si="16"/>
        <v/>
      </c>
      <c r="M47" s="176"/>
      <c r="N47" s="73"/>
      <c r="O47" s="73" t="str">
        <f t="shared" si="17"/>
        <v/>
      </c>
      <c r="P47" s="290"/>
      <c r="Q47" s="324" t="str">
        <f t="shared" si="20"/>
        <v/>
      </c>
      <c r="R47" s="325" t="str">
        <f t="shared" si="21"/>
        <v/>
      </c>
      <c r="S47" s="67"/>
      <c r="U47" s="18" t="s">
        <v>10</v>
      </c>
      <c r="V47" s="79" t="str">
        <f t="shared" si="19"/>
        <v/>
      </c>
      <c r="W47" s="332"/>
      <c r="Y47" s="159" t="s">
        <v>10</v>
      </c>
      <c r="Z47" s="125">
        <v>600</v>
      </c>
      <c r="AA47" s="125">
        <v>1500</v>
      </c>
      <c r="AB47" s="125">
        <v>0</v>
      </c>
      <c r="AC47" s="125">
        <v>350</v>
      </c>
    </row>
    <row r="48" spans="2:29">
      <c r="B48" s="18" t="s">
        <v>11</v>
      </c>
      <c r="D48" s="112" t="str">
        <f t="shared" si="14"/>
        <v/>
      </c>
      <c r="E48" s="135"/>
      <c r="F48" s="142"/>
      <c r="G48" s="344"/>
      <c r="H48" s="147"/>
      <c r="I48" s="72"/>
      <c r="J48" s="72" t="str">
        <f t="shared" si="15"/>
        <v/>
      </c>
      <c r="K48" s="73"/>
      <c r="L48" s="73" t="str">
        <f t="shared" si="16"/>
        <v/>
      </c>
      <c r="M48" s="176"/>
      <c r="N48" s="73"/>
      <c r="O48" s="73" t="str">
        <f t="shared" si="17"/>
        <v/>
      </c>
      <c r="P48" s="290"/>
      <c r="Q48" s="324" t="str">
        <f t="shared" si="20"/>
        <v/>
      </c>
      <c r="R48" s="325" t="str">
        <f t="shared" si="21"/>
        <v/>
      </c>
      <c r="S48" s="67"/>
      <c r="U48" s="18" t="s">
        <v>11</v>
      </c>
      <c r="V48" s="79" t="str">
        <f t="shared" si="19"/>
        <v/>
      </c>
      <c r="W48" s="332"/>
      <c r="Y48" s="159" t="s">
        <v>11</v>
      </c>
      <c r="Z48" s="125">
        <v>2500</v>
      </c>
      <c r="AA48" s="125">
        <v>3000</v>
      </c>
      <c r="AB48" s="125">
        <v>0</v>
      </c>
      <c r="AC48" s="125">
        <v>1800</v>
      </c>
    </row>
    <row r="49" spans="2:29">
      <c r="B49" s="18" t="s">
        <v>35</v>
      </c>
      <c r="D49" s="112" t="str">
        <f t="shared" si="14"/>
        <v/>
      </c>
      <c r="E49" s="135"/>
      <c r="F49" s="142"/>
      <c r="G49" s="344"/>
      <c r="H49" s="147"/>
      <c r="I49" s="72"/>
      <c r="J49" s="72" t="str">
        <f t="shared" si="15"/>
        <v/>
      </c>
      <c r="K49" s="73"/>
      <c r="L49" s="73" t="str">
        <f t="shared" si="16"/>
        <v/>
      </c>
      <c r="M49" s="176"/>
      <c r="N49" s="73"/>
      <c r="O49" s="73" t="str">
        <f t="shared" si="17"/>
        <v/>
      </c>
      <c r="P49" s="290"/>
      <c r="Q49" s="324" t="str">
        <f t="shared" si="20"/>
        <v/>
      </c>
      <c r="R49" s="325" t="str">
        <f t="shared" si="21"/>
        <v/>
      </c>
      <c r="S49" s="67"/>
      <c r="U49" s="18" t="s">
        <v>35</v>
      </c>
      <c r="V49" s="79" t="str">
        <f t="shared" si="19"/>
        <v/>
      </c>
      <c r="W49" s="332"/>
      <c r="Y49" s="159" t="s">
        <v>35</v>
      </c>
      <c r="Z49" s="125">
        <v>4000</v>
      </c>
      <c r="AA49" s="125">
        <v>6000</v>
      </c>
      <c r="AB49" s="125">
        <v>0</v>
      </c>
      <c r="AC49" s="125">
        <v>1500</v>
      </c>
    </row>
    <row r="50" spans="2:29" ht="15.75" thickBot="1">
      <c r="B50" s="27" t="s">
        <v>12</v>
      </c>
      <c r="D50" s="28" t="str">
        <f t="shared" si="14"/>
        <v/>
      </c>
      <c r="E50" s="135"/>
      <c r="F50" s="142"/>
      <c r="G50" s="345"/>
      <c r="H50" s="148"/>
      <c r="I50" s="74"/>
      <c r="J50" s="74" t="str">
        <f t="shared" si="15"/>
        <v/>
      </c>
      <c r="K50" s="75"/>
      <c r="L50" s="75" t="str">
        <f t="shared" si="16"/>
        <v/>
      </c>
      <c r="M50" s="176"/>
      <c r="N50" s="75"/>
      <c r="O50" s="75" t="str">
        <f t="shared" si="17"/>
        <v/>
      </c>
      <c r="P50" s="290"/>
      <c r="Q50" s="326" t="str">
        <f t="shared" si="20"/>
        <v/>
      </c>
      <c r="R50" s="327" t="str">
        <f t="shared" si="21"/>
        <v/>
      </c>
      <c r="S50" s="67"/>
      <c r="U50" s="27" t="s">
        <v>12</v>
      </c>
      <c r="V50" s="28" t="str">
        <f t="shared" si="19"/>
        <v/>
      </c>
      <c r="W50" s="332"/>
      <c r="Y50" s="159" t="s">
        <v>12</v>
      </c>
      <c r="Z50" s="125">
        <v>5000</v>
      </c>
      <c r="AA50" s="125">
        <v>5000</v>
      </c>
      <c r="AB50" s="125">
        <v>8000</v>
      </c>
      <c r="AC50" s="125">
        <v>1200</v>
      </c>
    </row>
    <row r="51" spans="2:29" ht="16.5" thickTop="1" thickBot="1">
      <c r="D51" s="46" t="str">
        <f>IF(SUM(W2:W13)&lt;&gt;0,IF(SUM(W2:W13)&lt;0,0,SUM(W2:W13)),"")</f>
        <v/>
      </c>
      <c r="E51" s="119"/>
      <c r="I51" s="76"/>
      <c r="J51" s="76" t="str">
        <f>IF(SUM(J39:J50)&lt;&gt;0,SUM(J39:J50),"")</f>
        <v/>
      </c>
      <c r="K51" s="239"/>
      <c r="L51" s="77" t="str">
        <f>IF(SUM(L39:L50)&lt;&gt;0,SUM(L39:L50),"")</f>
        <v/>
      </c>
      <c r="M51" s="178"/>
      <c r="N51" s="239"/>
      <c r="O51" s="77" t="str">
        <f>IF(SUM(O39:O50)&lt;&gt;0,SUM(O39:O50),"")</f>
        <v/>
      </c>
      <c r="P51" s="239"/>
      <c r="Q51" s="302" t="str">
        <f t="shared" ref="Q51:R51" si="22">IF(SUM(Q39:Q50)&lt;&gt;0,SUM(Q39:Q50),"")</f>
        <v/>
      </c>
      <c r="R51" s="303" t="e">
        <f t="shared" si="22"/>
        <v>#VALUE!</v>
      </c>
      <c r="S51" s="35"/>
      <c r="V51" s="82"/>
    </row>
    <row r="52" spans="2:29" ht="15.75" thickTop="1">
      <c r="Y52" s="119">
        <f>FLOOR(MAX(MIN((J54/Z39),(L54/AA39),(Q54/AC39)),0),1)</f>
        <v>0</v>
      </c>
      <c r="Z52" s="333" t="s">
        <v>61</v>
      </c>
    </row>
    <row r="53" spans="2:29" ht="15.75" thickBot="1">
      <c r="J53" s="308" t="s">
        <v>56</v>
      </c>
      <c r="K53" s="308"/>
      <c r="L53" s="309"/>
      <c r="M53" s="309"/>
      <c r="N53" s="309"/>
      <c r="O53" s="309"/>
      <c r="P53" s="309"/>
      <c r="Q53" s="309"/>
      <c r="R53" s="309"/>
      <c r="Y53" s="119">
        <f>FLOOR(MAX(MIN((J54/Z40),(L54/AA40),(Q54/AC40)),0),1)</f>
        <v>0</v>
      </c>
      <c r="Z53" s="333"/>
    </row>
    <row r="54" spans="2:29" ht="16.5" thickTop="1" thickBot="1">
      <c r="J54" s="256"/>
      <c r="K54" s="276"/>
      <c r="L54" s="257"/>
      <c r="M54" s="258"/>
      <c r="N54" s="258"/>
      <c r="O54" s="257"/>
      <c r="P54" s="259"/>
      <c r="Q54" s="310"/>
      <c r="R54" s="311"/>
      <c r="V54" s="369" t="s">
        <v>127</v>
      </c>
      <c r="W54" s="362" t="s">
        <v>22</v>
      </c>
      <c r="Y54" s="119">
        <f>FLOOR(MAX(MIN((J54/Z41),(L54/AA41),(Q54/AC41)),0),1)</f>
        <v>0</v>
      </c>
      <c r="Z54" s="333"/>
    </row>
    <row r="55" spans="2:29" ht="15.75" customHeight="1" thickTop="1">
      <c r="D55" s="114"/>
      <c r="J55" s="115">
        <f>IF(J51="",J54,(J54-J51))</f>
        <v>0</v>
      </c>
      <c r="K55" s="115"/>
      <c r="L55" s="115">
        <f t="shared" ref="L55:O55" si="23">IF(L51="",L54,(L54-L51))</f>
        <v>0</v>
      </c>
      <c r="M55" s="115">
        <f t="shared" si="23"/>
        <v>0</v>
      </c>
      <c r="N55" s="115"/>
      <c r="O55" s="115">
        <f t="shared" si="23"/>
        <v>0</v>
      </c>
      <c r="P55" s="115"/>
      <c r="Q55" s="115"/>
      <c r="R55" s="115">
        <f>IF(Q51="",Q54,(Q54-Q51))</f>
        <v>0</v>
      </c>
      <c r="U55" s="363" t="s">
        <v>49</v>
      </c>
      <c r="V55" s="370">
        <v>100</v>
      </c>
      <c r="W55" s="368" t="str">
        <f>IF(ISERROR((AC55)),"",(AC55))</f>
        <v/>
      </c>
      <c r="X55" s="361"/>
      <c r="Y55" s="119">
        <f>FLOOR(MAX(MIN((J54/Z42),(L54/AA42),(Q54/AC42)),0),1)</f>
        <v>0</v>
      </c>
      <c r="Z55" s="333"/>
      <c r="AA55" s="119" t="str">
        <f>IF(AND(J57&lt;&gt;"",J57&lt;&gt;"Nil"),J57,"Excess")</f>
        <v>Excess</v>
      </c>
      <c r="AC55" s="359" t="e">
        <f>J57/V55</f>
        <v>#VALUE!</v>
      </c>
    </row>
    <row r="56" spans="2:29" ht="15.75" thickBot="1">
      <c r="J56" s="308" t="s">
        <v>57</v>
      </c>
      <c r="K56" s="308"/>
      <c r="L56" s="309"/>
      <c r="M56" s="309"/>
      <c r="N56" s="309"/>
      <c r="O56" s="309"/>
      <c r="P56" s="309"/>
      <c r="Q56" s="309"/>
      <c r="R56" s="309"/>
      <c r="U56" s="364" t="s">
        <v>50</v>
      </c>
      <c r="V56" s="371">
        <v>100</v>
      </c>
      <c r="W56" s="367" t="str">
        <f>IF(ISERROR((AC56)),"",(AC56))</f>
        <v/>
      </c>
      <c r="X56" s="361"/>
      <c r="Y56" s="119">
        <f>FLOOR(MAX(MIN((J54/Z43),(L54/AA43),(Q54/AC43)),0),1)</f>
        <v>0</v>
      </c>
      <c r="Z56" s="333"/>
      <c r="AA56" s="119" t="str">
        <f>IF(AND(L57&lt;&gt;"",L57&lt;&gt;"Nil"),L57,"Excess")</f>
        <v>Excess</v>
      </c>
      <c r="AC56" s="359" t="e">
        <f>L57/V56</f>
        <v>#VALUE!</v>
      </c>
    </row>
    <row r="57" spans="2:29" ht="16.5" thickTop="1" thickBot="1">
      <c r="J57" s="76" t="str">
        <f>IF(ISERROR((IF(J51-J54&gt;=0,J51-J54,"Nil"))),"",(IF(J51-J54&gt;=0,J51-J54,"Nil")))</f>
        <v/>
      </c>
      <c r="K57" s="275"/>
      <c r="L57" s="77" t="str">
        <f>IF(ISERROR((IF(L51-L54&gt;=0,L51-L54,"Nil"))),"",(IF(L51-L54&gt;=0,L51-L54,"Nil")))</f>
        <v/>
      </c>
      <c r="M57" s="154"/>
      <c r="N57" s="154"/>
      <c r="O57" s="77" t="str">
        <f>IF(ISERROR((IF(O51-O54&gt;=0,O51-O54,"Nil"))),"",(IF(O51-O54&gt;=0,O51-O54,"Nil")))</f>
        <v/>
      </c>
      <c r="P57" s="239"/>
      <c r="Q57" s="302" t="str">
        <f>IF(ISERROR((IF(Q51-Q54&gt;=0,Q51-Q54,"Nil"))),"",(IF(Q51-Q54&gt;=0,Q51-Q54,"Nil")))</f>
        <v/>
      </c>
      <c r="R57" s="303"/>
      <c r="U57" s="364" t="s">
        <v>51</v>
      </c>
      <c r="V57" s="372">
        <v>100</v>
      </c>
      <c r="W57" s="367" t="str">
        <f>IF(ISERROR((AC57)),"",(AC57))</f>
        <v/>
      </c>
      <c r="X57" s="361"/>
      <c r="Y57" s="119">
        <f>FLOOR(MAX(MIN((J54/Z44),(L54/AA44),(Q54/AC44)),0),1)</f>
        <v>0</v>
      </c>
      <c r="Z57" s="333"/>
      <c r="AA57" s="119" t="str">
        <f>IF(AND(O57&lt;&gt;"",O57&lt;&gt;"Nil"),O57,"Excess")</f>
        <v>Excess</v>
      </c>
      <c r="AC57" s="359" t="e">
        <f>O57/V57</f>
        <v>#VALUE!</v>
      </c>
    </row>
    <row r="58" spans="2:29" ht="16.5" thickTop="1" thickBot="1">
      <c r="U58" s="365" t="s">
        <v>52</v>
      </c>
      <c r="V58" s="373">
        <v>100</v>
      </c>
      <c r="W58" s="366" t="str">
        <f>IF(ISERROR((AC58)),"",(AC58))</f>
        <v/>
      </c>
      <c r="X58" s="361"/>
      <c r="Y58" s="119">
        <f>FLOOR(MAX(MIN((J54/Z45),(L54/AA45),(Q54/AC45)),0),1)</f>
        <v>0</v>
      </c>
      <c r="Z58" s="333"/>
      <c r="AA58" s="119" t="str">
        <f>IF(AND(Q57&lt;&gt;"",Q57&lt;&gt;"Nil"),Q57,"Excess")</f>
        <v>Excess</v>
      </c>
      <c r="AC58" s="359" t="e">
        <f>Q57/V58</f>
        <v>#VALUE!</v>
      </c>
    </row>
    <row r="59" spans="2:29" ht="16.5" thickTop="1" thickBot="1">
      <c r="J59" s="308" t="s">
        <v>59</v>
      </c>
      <c r="K59" s="308"/>
      <c r="L59" s="309"/>
      <c r="M59" s="309"/>
      <c r="N59" s="309"/>
      <c r="O59" s="309"/>
      <c r="P59" s="309"/>
      <c r="Q59" s="309"/>
      <c r="R59" s="309"/>
      <c r="W59" s="360" t="s">
        <v>128</v>
      </c>
      <c r="X59" s="360"/>
      <c r="Y59" s="119">
        <f>FLOOR(MAX(MIN((J54/Z46),(L54/AA46),(Q54/AC46)),0),1)</f>
        <v>0</v>
      </c>
      <c r="Z59" s="333"/>
    </row>
    <row r="60" spans="2:29" ht="16.5" thickTop="1" thickBot="1">
      <c r="J60" s="256"/>
      <c r="K60" s="276"/>
      <c r="L60" s="257"/>
      <c r="M60" s="258"/>
      <c r="N60" s="258"/>
      <c r="O60" s="257"/>
      <c r="P60" s="259"/>
      <c r="Q60" s="310"/>
      <c r="R60" s="311"/>
      <c r="W60" s="360"/>
      <c r="X60" s="360"/>
      <c r="Y60" s="119">
        <f>FLOOR(MAX(MIN((J54/Z47),(L54/AA47),(Q54/AC47)),0),1)</f>
        <v>0</v>
      </c>
      <c r="Z60" s="333"/>
    </row>
    <row r="61" spans="2:29" ht="15.75" thickTop="1">
      <c r="Y61" s="119">
        <f>FLOOR(MAX(MIN((J54/Z48),(L54/AA48),(Q54/AC48)),0),1)</f>
        <v>0</v>
      </c>
      <c r="Z61" s="333"/>
    </row>
    <row r="62" spans="2:29" ht="15.75" thickBot="1">
      <c r="J62" s="308" t="s">
        <v>58</v>
      </c>
      <c r="K62" s="308"/>
      <c r="L62" s="309"/>
      <c r="M62" s="309"/>
      <c r="N62" s="309"/>
      <c r="O62" s="309"/>
      <c r="P62" s="309"/>
      <c r="Q62" s="309"/>
      <c r="R62" s="309"/>
      <c r="Y62" s="119">
        <f>FLOOR(MAX(MIN((J54/Z49),(L54/AA49),(Q54/AC49)),0),1)</f>
        <v>0</v>
      </c>
      <c r="Z62" s="333"/>
    </row>
    <row r="63" spans="2:29" ht="16.5" thickTop="1" thickBot="1">
      <c r="J63" s="76" t="str">
        <f>IF(ISERROR((J60*J57)),"",(J60*J57))</f>
        <v/>
      </c>
      <c r="K63" s="275"/>
      <c r="L63" s="77" t="str">
        <f>IF(ISERROR((L60*L57)),"",(L60*L57))</f>
        <v/>
      </c>
      <c r="M63" s="154"/>
      <c r="N63" s="154"/>
      <c r="O63" s="77" t="str">
        <f>IF(ISERROR((O60*O57)),"",(O60*O57))</f>
        <v/>
      </c>
      <c r="P63" s="239"/>
      <c r="Q63" s="302" t="str">
        <f>IF(ISERROR((Q60*Q57)),"",(Q60*Q57))</f>
        <v/>
      </c>
      <c r="R63" s="303"/>
      <c r="Y63" s="119">
        <f>FLOOR(MAX(MIN((J54/Z50),(L54/AA50),(O54/AB50),(Q54/AC50)),0),1)</f>
        <v>0</v>
      </c>
      <c r="Z63" s="333"/>
    </row>
    <row r="64" spans="2:29" ht="15.75" thickTop="1"/>
    <row r="65" spans="1:32">
      <c r="B65" s="84"/>
      <c r="C65" s="129"/>
      <c r="D65" s="84"/>
      <c r="E65" s="124"/>
      <c r="F65" s="124"/>
      <c r="J65" s="59"/>
      <c r="K65" s="374"/>
      <c r="L65" s="60"/>
      <c r="M65" s="129"/>
      <c r="N65" s="129"/>
      <c r="O65" s="61"/>
      <c r="P65" s="61"/>
      <c r="W65" s="58"/>
    </row>
    <row r="66" spans="1:32" ht="15.75" thickBot="1">
      <c r="A66" s="108"/>
      <c r="B66" s="109"/>
      <c r="C66" s="130"/>
      <c r="D66" s="90"/>
      <c r="E66" s="143"/>
      <c r="F66" s="143"/>
      <c r="G66" s="91"/>
      <c r="H66" s="143"/>
      <c r="I66" s="143"/>
      <c r="J66" s="91"/>
      <c r="K66" s="91"/>
      <c r="L66" s="91"/>
      <c r="M66" s="133"/>
      <c r="N66" s="133"/>
      <c r="O66" s="92"/>
      <c r="P66" s="92"/>
      <c r="V66" s="58"/>
      <c r="W66" s="58"/>
    </row>
    <row r="67" spans="1:32" ht="16.5" thickTop="1" thickBot="1">
      <c r="A67" s="23" t="s">
        <v>20</v>
      </c>
      <c r="B67" s="249"/>
      <c r="C67" s="131"/>
      <c r="D67" s="93"/>
      <c r="E67" s="143"/>
      <c r="F67" s="143"/>
      <c r="G67" s="91"/>
      <c r="H67" s="143"/>
      <c r="I67" s="143"/>
      <c r="J67" s="8" t="s">
        <v>0</v>
      </c>
      <c r="K67" s="277"/>
      <c r="L67" s="99" t="s">
        <v>71</v>
      </c>
      <c r="M67" s="168"/>
      <c r="N67" s="168"/>
      <c r="O67" s="169" t="s">
        <v>72</v>
      </c>
      <c r="P67" s="242"/>
      <c r="Q67" s="336" t="s">
        <v>73</v>
      </c>
      <c r="R67" s="337"/>
      <c r="V67" s="191" t="s">
        <v>64</v>
      </c>
      <c r="W67" s="86" t="s">
        <v>65</v>
      </c>
      <c r="Z67" s="156" t="s">
        <v>74</v>
      </c>
      <c r="AA67" s="156" t="s">
        <v>73</v>
      </c>
      <c r="AB67" s="156" t="s">
        <v>71</v>
      </c>
    </row>
    <row r="68" spans="1:32" ht="15.75" thickTop="1">
      <c r="A68" s="24" t="s">
        <v>67</v>
      </c>
      <c r="B68" s="250"/>
      <c r="C68" s="131"/>
      <c r="D68" s="92"/>
      <c r="E68" s="144"/>
      <c r="F68" s="144"/>
      <c r="G68" s="94"/>
      <c r="H68" s="143"/>
      <c r="I68" s="143"/>
      <c r="J68" s="10" t="s">
        <v>2</v>
      </c>
      <c r="K68" s="278"/>
      <c r="L68" s="104">
        <f>AB68/100*(B67+D69+100)</f>
        <v>5</v>
      </c>
      <c r="M68" s="170"/>
      <c r="N68" s="170"/>
      <c r="O68" s="171">
        <f>IF(B68&gt;=850,500,AD68)</f>
        <v>50</v>
      </c>
      <c r="P68" s="171"/>
      <c r="Q68" s="339">
        <f>IF(B68&gt;=850,AF68/0.5,AF68/AE68)</f>
        <v>105.26315789473685</v>
      </c>
      <c r="R68" s="340"/>
      <c r="U68" s="88" t="s">
        <v>78</v>
      </c>
      <c r="V68" s="260"/>
      <c r="W68" s="262"/>
      <c r="Y68" s="119" t="s">
        <v>2</v>
      </c>
      <c r="Z68" s="119">
        <v>50</v>
      </c>
      <c r="AA68" s="119">
        <v>100</v>
      </c>
      <c r="AB68" s="119">
        <v>5</v>
      </c>
      <c r="AD68" s="160">
        <f t="shared" ref="AD68:AD79" si="24">1000-AE68*1000</f>
        <v>50</v>
      </c>
      <c r="AE68" s="160">
        <f>1-((((B68+D70+100)/100)*Z68)/1000)</f>
        <v>0.95</v>
      </c>
      <c r="AF68" s="119">
        <f>(AA68*(1+0.001*D71))</f>
        <v>100</v>
      </c>
    </row>
    <row r="69" spans="1:32" ht="15.75" thickBot="1">
      <c r="A69" s="98" t="s">
        <v>70</v>
      </c>
      <c r="B69" s="251"/>
      <c r="C69" s="131"/>
      <c r="D69" s="100">
        <f>(((B69*5)))</f>
        <v>0</v>
      </c>
      <c r="E69" s="144"/>
      <c r="F69" s="144"/>
      <c r="G69" s="94"/>
      <c r="H69" s="143"/>
      <c r="I69" s="143"/>
      <c r="J69" s="18" t="s">
        <v>3</v>
      </c>
      <c r="K69" s="279"/>
      <c r="L69" s="105">
        <f>AB69/100*(B67+D69+100)</f>
        <v>50</v>
      </c>
      <c r="M69" s="170"/>
      <c r="N69" s="170"/>
      <c r="O69" s="172">
        <f>IF(B68&gt;=850,500,AD69)</f>
        <v>50</v>
      </c>
      <c r="P69" s="172"/>
      <c r="Q69" s="330">
        <f>IF(B68&gt;=850,AF69/0.5,AF69/AE69)</f>
        <v>210.5263157894737</v>
      </c>
      <c r="R69" s="331"/>
      <c r="U69" s="89" t="s">
        <v>79</v>
      </c>
      <c r="V69" s="261"/>
      <c r="W69" s="263"/>
      <c r="Y69" s="119" t="s">
        <v>3</v>
      </c>
      <c r="Z69" s="119">
        <v>50</v>
      </c>
      <c r="AA69" s="119">
        <v>200</v>
      </c>
      <c r="AB69" s="119">
        <v>50</v>
      </c>
      <c r="AD69" s="160">
        <f t="shared" si="24"/>
        <v>50</v>
      </c>
      <c r="AE69" s="160">
        <f>(1-((((B68+D70+100)/100)*Z69)/1000))</f>
        <v>0.95</v>
      </c>
      <c r="AF69" s="119">
        <f>(AA69*(1+0.001*D71))</f>
        <v>200</v>
      </c>
    </row>
    <row r="70" spans="1:32" ht="16.5" thickTop="1" thickBot="1">
      <c r="A70" s="97" t="s">
        <v>69</v>
      </c>
      <c r="B70" s="251"/>
      <c r="C70" s="132"/>
      <c r="D70" s="100">
        <f>(((B70*5)))</f>
        <v>0</v>
      </c>
      <c r="E70" s="143"/>
      <c r="F70" s="143"/>
      <c r="G70" s="91"/>
      <c r="H70" s="143"/>
      <c r="I70" s="143"/>
      <c r="J70" s="18" t="s">
        <v>4</v>
      </c>
      <c r="K70" s="279"/>
      <c r="L70" s="105">
        <f>AB70/100*(B67+D69+100)</f>
        <v>20</v>
      </c>
      <c r="M70" s="170"/>
      <c r="N70" s="170"/>
      <c r="O70" s="172">
        <f>IF(B68&gt;=900,500,AD70)</f>
        <v>50</v>
      </c>
      <c r="P70" s="172"/>
      <c r="Q70" s="330">
        <f>IF(B68&gt;=900,AF70/0.5,AF70/AE70)</f>
        <v>105.26315789473685</v>
      </c>
      <c r="R70" s="331"/>
      <c r="V70" s="85" t="s">
        <v>66</v>
      </c>
      <c r="W70" s="87">
        <f>MIN(V71,V72,V73)</f>
        <v>0</v>
      </c>
      <c r="Y70" s="119" t="s">
        <v>4</v>
      </c>
      <c r="Z70" s="119">
        <v>50</v>
      </c>
      <c r="AA70" s="119">
        <v>100</v>
      </c>
      <c r="AB70" s="119">
        <v>20</v>
      </c>
      <c r="AD70" s="160">
        <f t="shared" si="24"/>
        <v>50</v>
      </c>
      <c r="AE70" s="160">
        <f>(1-((((B68+100)/100)*Z70)/1000))</f>
        <v>0.95</v>
      </c>
      <c r="AF70" s="119">
        <f>(AA70*(1+0.001*D71))</f>
        <v>100</v>
      </c>
    </row>
    <row r="71" spans="1:32" ht="16.5" thickTop="1" thickBot="1">
      <c r="A71" s="96" t="s">
        <v>68</v>
      </c>
      <c r="B71" s="252"/>
      <c r="C71" s="132"/>
      <c r="D71" s="100">
        <f>(((B71*5)))</f>
        <v>0</v>
      </c>
      <c r="E71" s="143"/>
      <c r="F71" s="143"/>
      <c r="G71" s="91"/>
      <c r="H71" s="143"/>
      <c r="I71" s="143"/>
      <c r="J71" s="18" t="s">
        <v>5</v>
      </c>
      <c r="K71" s="279"/>
      <c r="L71" s="105">
        <f>AB71/100*(B67+D69+100)</f>
        <v>150</v>
      </c>
      <c r="M71" s="170"/>
      <c r="N71" s="170"/>
      <c r="O71" s="172">
        <f>IF(B68&gt;=184,500,AD71)</f>
        <v>150</v>
      </c>
      <c r="P71" s="172"/>
      <c r="Q71" s="330">
        <f>IF(B68&gt;=184,AF71/0.5,AF71/AE71)</f>
        <v>352.94117647058823</v>
      </c>
      <c r="R71" s="331"/>
      <c r="V71" s="334">
        <f>SQRT((V68-V69)^2+(W68-W69)^2)</f>
        <v>0</v>
      </c>
      <c r="W71" s="334"/>
      <c r="Y71" s="119" t="s">
        <v>5</v>
      </c>
      <c r="Z71" s="119">
        <v>150</v>
      </c>
      <c r="AA71" s="119">
        <v>300</v>
      </c>
      <c r="AB71" s="119">
        <v>150</v>
      </c>
      <c r="AD71" s="160">
        <f t="shared" si="24"/>
        <v>150</v>
      </c>
      <c r="AE71" s="160">
        <f>(1-((((B68+D70+100)/100)*Z71)/1000))</f>
        <v>0.85</v>
      </c>
      <c r="AF71" s="119">
        <f>(AA71*(1+0.001*D71))</f>
        <v>300</v>
      </c>
    </row>
    <row r="72" spans="1:32" ht="15.75" thickTop="1">
      <c r="C72" s="132"/>
      <c r="E72" s="143"/>
      <c r="F72" s="143"/>
      <c r="G72" s="91"/>
      <c r="H72" s="143"/>
      <c r="I72" s="143"/>
      <c r="J72" s="18" t="s">
        <v>6</v>
      </c>
      <c r="K72" s="279"/>
      <c r="L72" s="105">
        <f>AB72/100*(B67+D69+100)</f>
        <v>100</v>
      </c>
      <c r="M72" s="170"/>
      <c r="N72" s="170"/>
      <c r="O72" s="172">
        <f>IF(B68&gt;=50,500,AD72)</f>
        <v>250</v>
      </c>
      <c r="P72" s="172"/>
      <c r="Q72" s="330">
        <f>IF(B68&gt;=50,AF72/0.5,AF72/AE72)</f>
        <v>466.66666666666669</v>
      </c>
      <c r="R72" s="331"/>
      <c r="V72" s="335">
        <f>SQRT((V68-(V69+800))^2+(W68-(W69+800))^2)</f>
        <v>1131.3708498984761</v>
      </c>
      <c r="W72" s="335"/>
      <c r="Y72" s="119" t="s">
        <v>75</v>
      </c>
      <c r="Z72" s="119">
        <v>250</v>
      </c>
      <c r="AA72" s="119">
        <v>350</v>
      </c>
      <c r="AB72" s="119">
        <v>100</v>
      </c>
      <c r="AD72" s="160">
        <f t="shared" si="24"/>
        <v>250</v>
      </c>
      <c r="AE72" s="160">
        <f>(1-((((B68+D70+100)/100)*Z72)/1000))</f>
        <v>0.75</v>
      </c>
      <c r="AF72" s="119">
        <f>(AA72*(1+0.001*D71))</f>
        <v>350</v>
      </c>
    </row>
    <row r="73" spans="1:32">
      <c r="C73" s="133"/>
      <c r="D73" s="95"/>
      <c r="E73" s="143"/>
      <c r="F73" s="143"/>
      <c r="G73" s="91"/>
      <c r="H73" s="143"/>
      <c r="I73" s="143"/>
      <c r="J73" s="18" t="s">
        <v>7</v>
      </c>
      <c r="K73" s="279"/>
      <c r="L73" s="105">
        <f>AB73/100*(B67+D69+100)</f>
        <v>120</v>
      </c>
      <c r="M73" s="170"/>
      <c r="N73" s="170"/>
      <c r="O73" s="172">
        <f>IF(B68&gt;=850,500,AD73)</f>
        <v>50</v>
      </c>
      <c r="P73" s="172"/>
      <c r="Q73" s="330">
        <f>IF(B68&gt;=850,AF73/0.5,AF73/AE73)</f>
        <v>263.15789473684214</v>
      </c>
      <c r="R73" s="331"/>
      <c r="V73" s="335">
        <f>SQRT(((V68+800)-V69)^2+((W68+800)-W69)^2)</f>
        <v>1131.3708498984761</v>
      </c>
      <c r="W73" s="335"/>
      <c r="Y73" s="119" t="s">
        <v>7</v>
      </c>
      <c r="Z73" s="119">
        <v>50</v>
      </c>
      <c r="AA73" s="119">
        <v>250</v>
      </c>
      <c r="AB73" s="119">
        <v>120</v>
      </c>
      <c r="AD73" s="160">
        <f t="shared" si="24"/>
        <v>50</v>
      </c>
      <c r="AE73" s="160">
        <f>(1-((((B68+D70+100)/100)*Z73)/1000))</f>
        <v>0.95</v>
      </c>
      <c r="AF73" s="119">
        <f>(AA73*(1+0.001*D71))</f>
        <v>250</v>
      </c>
    </row>
    <row r="74" spans="1:32">
      <c r="J74" s="18" t="s">
        <v>8</v>
      </c>
      <c r="K74" s="279"/>
      <c r="L74" s="105">
        <f>AB74/100*(B67+D69+100)</f>
        <v>250</v>
      </c>
      <c r="M74" s="173"/>
      <c r="N74" s="173"/>
      <c r="O74" s="172">
        <f>IF(B68&gt;=128,500,AD74)</f>
        <v>179.99999999999989</v>
      </c>
      <c r="P74" s="172"/>
      <c r="Q74" s="330">
        <f>IF(B68&gt;=128,AF74/0.5,AF74/AE74)</f>
        <v>609.7560975609756</v>
      </c>
      <c r="R74" s="331"/>
      <c r="Y74" s="119" t="s">
        <v>8</v>
      </c>
      <c r="Z74" s="119">
        <v>180</v>
      </c>
      <c r="AA74" s="119">
        <v>500</v>
      </c>
      <c r="AB74" s="119">
        <v>250</v>
      </c>
      <c r="AD74" s="160">
        <f t="shared" si="24"/>
        <v>179.99999999999989</v>
      </c>
      <c r="AE74" s="160">
        <f>(1-((((B68+D70+100)/100)*Z74)/1000))</f>
        <v>0.82000000000000006</v>
      </c>
      <c r="AF74" s="119">
        <f>(AA74*(1+0.001*D71))</f>
        <v>500</v>
      </c>
    </row>
    <row r="75" spans="1:32">
      <c r="J75" s="18" t="s">
        <v>9</v>
      </c>
      <c r="K75" s="279"/>
      <c r="L75" s="105">
        <f>AB75/100*(B67+D69+100)</f>
        <v>350</v>
      </c>
      <c r="M75" s="173"/>
      <c r="N75" s="173"/>
      <c r="O75" s="172">
        <v>500</v>
      </c>
      <c r="P75" s="172"/>
      <c r="Q75" s="330">
        <f>AA75</f>
        <v>1000</v>
      </c>
      <c r="R75" s="331"/>
      <c r="Y75" s="119" t="s">
        <v>9</v>
      </c>
      <c r="Z75" s="119">
        <v>350</v>
      </c>
      <c r="AA75" s="119">
        <v>1000</v>
      </c>
      <c r="AB75" s="119">
        <v>350</v>
      </c>
      <c r="AD75" s="160">
        <f t="shared" si="24"/>
        <v>350</v>
      </c>
      <c r="AE75" s="160">
        <f>(1-((((B68+D70+100)/100)*Z75)/1000))</f>
        <v>0.65</v>
      </c>
      <c r="AF75" s="119">
        <f>(AA75*(1+0.001*D71))</f>
        <v>1000</v>
      </c>
    </row>
    <row r="76" spans="1:32">
      <c r="B76" s="375"/>
      <c r="J76" s="18" t="s">
        <v>10</v>
      </c>
      <c r="K76" s="279"/>
      <c r="L76" s="105">
        <f>AB76/100*(B67+D69+100)</f>
        <v>10</v>
      </c>
      <c r="M76" s="173"/>
      <c r="N76" s="173"/>
      <c r="O76" s="172">
        <f>IF(B68&gt;=684,500,AD76)</f>
        <v>60</v>
      </c>
      <c r="P76" s="172"/>
      <c r="Q76" s="330">
        <f>IF(B68&gt;=684,AF76/0.5,AF76/AE76)</f>
        <v>744.68085106382978</v>
      </c>
      <c r="R76" s="331"/>
      <c r="Y76" s="119" t="s">
        <v>76</v>
      </c>
      <c r="Z76" s="119">
        <v>60</v>
      </c>
      <c r="AA76" s="119">
        <v>700</v>
      </c>
      <c r="AB76" s="119">
        <v>10</v>
      </c>
      <c r="AD76" s="160">
        <f t="shared" si="24"/>
        <v>60</v>
      </c>
      <c r="AE76" s="160">
        <f>(1-((((B68+D70+100)/100)*Z76)/1000))</f>
        <v>0.94</v>
      </c>
      <c r="AF76" s="119">
        <f>(AA76*(1+0.001*D71))</f>
        <v>700</v>
      </c>
    </row>
    <row r="77" spans="1:32">
      <c r="B77" s="375"/>
      <c r="J77" s="18" t="s">
        <v>11</v>
      </c>
      <c r="K77" s="279"/>
      <c r="L77" s="105">
        <f>AB77/100*(B67+D69+100)</f>
        <v>450</v>
      </c>
      <c r="M77" s="173"/>
      <c r="N77" s="173"/>
      <c r="O77" s="172">
        <f>IF(B68&gt;=163,500,AD77)</f>
        <v>160</v>
      </c>
      <c r="P77" s="172"/>
      <c r="Q77" s="330">
        <f>IF(B68&gt;=163,AF77/0.5,AF77/AE77)</f>
        <v>380.95238095238096</v>
      </c>
      <c r="R77" s="331"/>
      <c r="Y77" s="119" t="s">
        <v>11</v>
      </c>
      <c r="Z77" s="119">
        <v>160</v>
      </c>
      <c r="AA77" s="119">
        <v>320</v>
      </c>
      <c r="AB77" s="119">
        <v>450</v>
      </c>
      <c r="AD77" s="160">
        <f t="shared" si="24"/>
        <v>160</v>
      </c>
      <c r="AE77" s="160">
        <f>(1-((((B68+D70+100)/100)*Z77)/1000))</f>
        <v>0.84</v>
      </c>
      <c r="AF77" s="119">
        <f>(AA77*(1+0.001*D71))</f>
        <v>320</v>
      </c>
    </row>
    <row r="78" spans="1:32">
      <c r="B78" s="375"/>
      <c r="J78" s="18" t="s">
        <v>35</v>
      </c>
      <c r="K78" s="279"/>
      <c r="L78" s="105">
        <f>AB78/100*(B67+D69+100)</f>
        <v>250</v>
      </c>
      <c r="M78" s="173"/>
      <c r="N78" s="173"/>
      <c r="O78" s="172">
        <f>IF(B68&gt;=163,500,AD78)</f>
        <v>160</v>
      </c>
      <c r="P78" s="172"/>
      <c r="Q78" s="330">
        <f>IF(B68&gt;=163,AF78/0.5,AF78/AE78)</f>
        <v>5952.3809523809523</v>
      </c>
      <c r="R78" s="331"/>
      <c r="Y78" s="119" t="s">
        <v>77</v>
      </c>
      <c r="Z78" s="119">
        <v>160</v>
      </c>
      <c r="AA78" s="119">
        <v>5000</v>
      </c>
      <c r="AB78" s="119">
        <v>250</v>
      </c>
      <c r="AD78" s="160">
        <f t="shared" si="24"/>
        <v>160</v>
      </c>
      <c r="AE78" s="160">
        <f>(1-((((B68+D70+100)/100)*Z78)/1000))</f>
        <v>0.84</v>
      </c>
      <c r="AF78" s="119">
        <f>(AA78*(1+0.001*D71))</f>
        <v>5000</v>
      </c>
    </row>
    <row r="79" spans="1:32" ht="15.75" thickBot="1">
      <c r="J79" s="27" t="s">
        <v>12</v>
      </c>
      <c r="K79" s="280"/>
      <c r="L79" s="106">
        <f>AB79/100*(B67+D69+100)</f>
        <v>600</v>
      </c>
      <c r="M79" s="174"/>
      <c r="N79" s="174"/>
      <c r="O79" s="175">
        <f>IF(B68&gt;=100,500,AD79)</f>
        <v>200</v>
      </c>
      <c r="P79" s="175"/>
      <c r="Q79" s="341">
        <f>IF(B68&gt;=100,AF79/0.5,AF79/AE79)</f>
        <v>600</v>
      </c>
      <c r="R79" s="342"/>
      <c r="Y79" s="119" t="s">
        <v>12</v>
      </c>
      <c r="Z79" s="119">
        <v>200</v>
      </c>
      <c r="AA79" s="119">
        <v>480</v>
      </c>
      <c r="AB79" s="119">
        <v>600</v>
      </c>
      <c r="AD79" s="160">
        <f t="shared" si="24"/>
        <v>200</v>
      </c>
      <c r="AE79" s="160">
        <f>(1-((((B68+D70+100)/100)*Z79)/1000))</f>
        <v>0.8</v>
      </c>
      <c r="AF79" s="119">
        <f>(AA79*(1+0.001*D71))</f>
        <v>480</v>
      </c>
    </row>
    <row r="80" spans="1:32" ht="16.5" thickTop="1" thickBot="1">
      <c r="J80" s="103"/>
      <c r="K80" s="103"/>
      <c r="L80" s="101"/>
      <c r="M80" s="155"/>
      <c r="N80" s="155"/>
      <c r="O80" s="101"/>
      <c r="P80" s="243"/>
      <c r="Q80" s="338"/>
      <c r="R80" s="338"/>
      <c r="S80" s="102"/>
      <c r="T80" s="92"/>
      <c r="U80" s="92"/>
      <c r="V80" s="92"/>
      <c r="X80" s="92"/>
      <c r="Y80" s="133"/>
      <c r="Z80" s="133"/>
      <c r="AA80" s="133"/>
      <c r="AB80" s="133"/>
      <c r="AC80" s="133"/>
      <c r="AD80" s="160"/>
      <c r="AE80" s="160"/>
    </row>
    <row r="81" spans="1:33" ht="15.75" thickTop="1">
      <c r="A81" s="21" t="s">
        <v>80</v>
      </c>
      <c r="B81" s="248"/>
      <c r="J81" s="59"/>
      <c r="K81" s="374"/>
      <c r="L81" s="60"/>
      <c r="M81" s="129"/>
      <c r="N81" s="129"/>
      <c r="O81" s="61"/>
      <c r="P81" s="61"/>
    </row>
    <row r="82" spans="1:33">
      <c r="A82" s="98" t="s">
        <v>81</v>
      </c>
      <c r="B82" s="264"/>
      <c r="D82" s="15"/>
    </row>
    <row r="83" spans="1:33" ht="15.75" thickBot="1">
      <c r="A83" s="110" t="s">
        <v>91</v>
      </c>
      <c r="B83" s="265"/>
      <c r="D83" s="15"/>
    </row>
    <row r="84" spans="1:33" ht="16.5" thickTop="1" thickBot="1">
      <c r="D84" s="15"/>
    </row>
    <row r="85" spans="1:33" ht="16.5" customHeight="1" thickTop="1" thickBot="1">
      <c r="B85" s="8" t="s">
        <v>87</v>
      </c>
      <c r="C85" s="193"/>
      <c r="D85" s="9" t="s">
        <v>32</v>
      </c>
      <c r="E85" s="194" t="s">
        <v>89</v>
      </c>
      <c r="F85" s="194" t="s">
        <v>90</v>
      </c>
      <c r="G85" s="222"/>
      <c r="H85" s="195" t="s">
        <v>36</v>
      </c>
      <c r="I85" s="195"/>
      <c r="J85" s="69" t="s">
        <v>36</v>
      </c>
      <c r="K85" s="69"/>
      <c r="L85" s="70" t="s">
        <v>23</v>
      </c>
      <c r="M85" s="220"/>
      <c r="N85" s="283"/>
      <c r="O85" s="221" t="s">
        <v>22</v>
      </c>
      <c r="P85" s="287"/>
      <c r="U85" s="8" t="s">
        <v>115</v>
      </c>
      <c r="V85" s="190" t="s">
        <v>33</v>
      </c>
      <c r="W85" s="294" t="s">
        <v>34</v>
      </c>
      <c r="X85" s="293" t="s">
        <v>123</v>
      </c>
      <c r="Y85" s="119" t="s">
        <v>87</v>
      </c>
    </row>
    <row r="86" spans="1:33" ht="16.5" customHeight="1" thickTop="1">
      <c r="B86" s="198" t="s">
        <v>82</v>
      </c>
      <c r="C86" s="199">
        <f>D86-V86</f>
        <v>0</v>
      </c>
      <c r="D86" s="266"/>
      <c r="E86" s="200">
        <f>INT(Z86*(0.9^B82)*(0.995^B81))</f>
        <v>60</v>
      </c>
      <c r="F86" s="200">
        <f>E86*C86</f>
        <v>0</v>
      </c>
      <c r="G86" s="304" t="s">
        <v>88</v>
      </c>
      <c r="H86" s="201" t="str">
        <f>IF(C86=0,"",F86)</f>
        <v/>
      </c>
      <c r="I86" s="201"/>
      <c r="J86" s="202" t="str">
        <f>IF(ISERROR(((IF(H86="","",IF(H86&lt;3600,H86,"&gt;1 Hour"))))),"",((IF(H86="","",IF(H86&lt;3600,H86,IF(H86="","","&gt;1 Hour"))))))</f>
        <v/>
      </c>
      <c r="K86" s="202"/>
      <c r="L86" s="227" t="str">
        <f>IF(M86&lt;&gt;"&lt;1 Hour",IF(M86&lt;&gt;"",INT(M86) &amp; ":" &amp; INT((M86-INT(M86))*60),""),"&lt;1 Hour")</f>
        <v/>
      </c>
      <c r="M86" s="203" t="str">
        <f>IF(H86="","",H86/3600)</f>
        <v/>
      </c>
      <c r="N86" s="284"/>
      <c r="O86" s="204" t="str">
        <f>IF(ISERROR((IF(AND(M86&gt;24,M86&lt;&gt;"",M86&lt;&gt;0),ROUND(M86/24,3),(IF(ISTEXT(M86),"","&lt;1 Day"))))),"&lt;1 Day",(IF(AND(M86&gt;24,M86&lt;&gt;"",M86&lt;&gt;0),ROUND(M86/24,3),(IF(ISTEXT(M86),"","&lt;1 Day")))))</f>
        <v/>
      </c>
      <c r="P86" s="291"/>
      <c r="U86" s="10" t="s">
        <v>82</v>
      </c>
      <c r="V86" s="245"/>
      <c r="W86" s="295" t="str">
        <f>IF(C86&lt;&gt;0,IF(C86&lt;0,0,C86),"")</f>
        <v/>
      </c>
      <c r="X86" s="17" t="str">
        <f>IF(ISERROR((W86*AG86)),"",(W86*AG86))</f>
        <v/>
      </c>
      <c r="Y86" s="161" t="s">
        <v>82</v>
      </c>
      <c r="Z86" s="119">
        <v>60</v>
      </c>
      <c r="AG86" s="119">
        <v>4.375</v>
      </c>
    </row>
    <row r="87" spans="1:33">
      <c r="B87" s="205" t="s">
        <v>83</v>
      </c>
      <c r="C87" s="206">
        <f t="shared" ref="C87:C90" si="25">D87-V87</f>
        <v>0</v>
      </c>
      <c r="D87" s="267"/>
      <c r="E87" s="207">
        <f>INT(Z87*(0.9^B82)*(0.995^B81))</f>
        <v>120</v>
      </c>
      <c r="F87" s="207">
        <f>E87*C87</f>
        <v>0</v>
      </c>
      <c r="G87" s="305"/>
      <c r="H87" s="208" t="str">
        <f>IF(C87=0,"",F87)</f>
        <v/>
      </c>
      <c r="I87" s="208"/>
      <c r="J87" s="209" t="str">
        <f t="shared" ref="J87:J90" si="26">IF(ISERROR(((IF(H87="","",IF(H87&lt;3600,H87,"&gt;1 Hour"))))),"",((IF(H87="","",IF(H87&lt;3600,H87,IF(H87="","","&gt;1 Hour"))))))</f>
        <v/>
      </c>
      <c r="K87" s="209"/>
      <c r="L87" s="228" t="str">
        <f t="shared" ref="L87:L90" si="27">IF(M87&lt;&gt;"&lt;1 Hour",IF(M87&lt;&gt;"",INT(M87) &amp; ":" &amp; INT((M87-INT(M87))*60),""),"&lt;1 Hour")</f>
        <v/>
      </c>
      <c r="M87" s="210" t="str">
        <f>IF(H87="","",H87/3600)</f>
        <v/>
      </c>
      <c r="N87" s="285"/>
      <c r="O87" s="211" t="str">
        <f t="shared" ref="O87:O90" si="28">IF(ISERROR((IF(AND(M87&gt;24,M87&lt;&gt;"",M87&lt;&gt;0),ROUND(M87/24,3),(IF(ISTEXT(M87),"","&lt;1 Day"))))),"&lt;1 Day",(IF(AND(M87&gt;24,M87&lt;&gt;"",M87&lt;&gt;0),ROUND(M87/24,3),(IF(ISTEXT(M87),"","&lt;1 Day")))))</f>
        <v/>
      </c>
      <c r="P87" s="291"/>
      <c r="U87" s="18" t="s">
        <v>83</v>
      </c>
      <c r="V87" s="246"/>
      <c r="W87" s="296" t="str">
        <f>IF(C87&lt;&gt;0,IF(C87&lt;0,0,C87),"")</f>
        <v/>
      </c>
      <c r="X87" s="270" t="str">
        <f>IF(ISERROR((W87*AG87)),"",(W87*AG87))</f>
        <v/>
      </c>
      <c r="Y87" s="161" t="s">
        <v>83</v>
      </c>
      <c r="Z87" s="119">
        <v>120</v>
      </c>
      <c r="AG87" s="119">
        <v>8.375</v>
      </c>
    </row>
    <row r="88" spans="1:33">
      <c r="B88" s="205" t="s">
        <v>84</v>
      </c>
      <c r="C88" s="206">
        <f t="shared" si="25"/>
        <v>0</v>
      </c>
      <c r="D88" s="267"/>
      <c r="E88" s="207">
        <f>INT(Z88*(0.9^B82)*(0.995^B81))</f>
        <v>360</v>
      </c>
      <c r="F88" s="207">
        <f t="shared" ref="F88:F90" si="29">E88*C88</f>
        <v>0</v>
      </c>
      <c r="G88" s="305"/>
      <c r="H88" s="208" t="str">
        <f>IF(C88=0,"",F88)</f>
        <v/>
      </c>
      <c r="I88" s="208"/>
      <c r="J88" s="209" t="str">
        <f t="shared" si="26"/>
        <v/>
      </c>
      <c r="K88" s="209"/>
      <c r="L88" s="228" t="str">
        <f t="shared" si="27"/>
        <v/>
      </c>
      <c r="M88" s="210" t="str">
        <f>IF(H88="","",H88/3600)</f>
        <v/>
      </c>
      <c r="N88" s="285"/>
      <c r="O88" s="211" t="str">
        <f t="shared" si="28"/>
        <v/>
      </c>
      <c r="P88" s="291"/>
      <c r="U88" s="18" t="s">
        <v>84</v>
      </c>
      <c r="V88" s="246"/>
      <c r="W88" s="296" t="str">
        <f>IF(C88&lt;&gt;0,IF(C88&lt;0,0,C88),"")</f>
        <v/>
      </c>
      <c r="X88" s="270" t="str">
        <f>IF(ISERROR((W88*AG88)),"",(W88*AG88))</f>
        <v/>
      </c>
      <c r="Y88" s="161" t="s">
        <v>84</v>
      </c>
      <c r="Z88" s="119">
        <v>360</v>
      </c>
      <c r="AG88" s="119">
        <v>31.5</v>
      </c>
    </row>
    <row r="89" spans="1:33">
      <c r="B89" s="212" t="s">
        <v>86</v>
      </c>
      <c r="C89" s="206">
        <f t="shared" si="25"/>
        <v>0</v>
      </c>
      <c r="D89" s="267"/>
      <c r="E89" s="207">
        <f>INT(Z89*(0.9^B82)*(0.995^B81))</f>
        <v>180</v>
      </c>
      <c r="F89" s="207">
        <f t="shared" si="29"/>
        <v>0</v>
      </c>
      <c r="G89" s="305"/>
      <c r="H89" s="208" t="str">
        <f>IF(C89=0,"",F89)</f>
        <v/>
      </c>
      <c r="I89" s="208"/>
      <c r="J89" s="209" t="str">
        <f t="shared" si="26"/>
        <v/>
      </c>
      <c r="K89" s="209"/>
      <c r="L89" s="228" t="str">
        <f t="shared" si="27"/>
        <v/>
      </c>
      <c r="M89" s="210" t="str">
        <f>IF(H89="","",H89/3600)</f>
        <v/>
      </c>
      <c r="N89" s="285"/>
      <c r="O89" s="211" t="str">
        <f t="shared" si="28"/>
        <v/>
      </c>
      <c r="P89" s="291"/>
      <c r="U89" s="18" t="s">
        <v>86</v>
      </c>
      <c r="V89" s="246"/>
      <c r="W89" s="296" t="str">
        <f>IF(C89&lt;&gt;0,IF(C89&lt;0,0,C89),"")</f>
        <v/>
      </c>
      <c r="X89" s="270" t="str">
        <f>IF(ISERROR((W89*AG89)),"",(W89*AG89))</f>
        <v/>
      </c>
      <c r="Y89" s="162" t="s">
        <v>86</v>
      </c>
      <c r="Z89" s="119">
        <v>180</v>
      </c>
      <c r="AG89" s="119">
        <v>27.25</v>
      </c>
    </row>
    <row r="90" spans="1:33" ht="15.75" thickBot="1">
      <c r="B90" s="213" t="s">
        <v>85</v>
      </c>
      <c r="C90" s="214">
        <f t="shared" si="25"/>
        <v>0</v>
      </c>
      <c r="D90" s="268"/>
      <c r="E90" s="215">
        <f>INT(Z90*(0.9^B82)*(0.995^B81))</f>
        <v>600</v>
      </c>
      <c r="F90" s="215">
        <f t="shared" si="29"/>
        <v>0</v>
      </c>
      <c r="G90" s="306"/>
      <c r="H90" s="216" t="str">
        <f>IF(C90=0,"",F90)</f>
        <v/>
      </c>
      <c r="I90" s="216"/>
      <c r="J90" s="217" t="str">
        <f t="shared" si="26"/>
        <v/>
      </c>
      <c r="K90" s="217"/>
      <c r="L90" s="229" t="str">
        <f t="shared" si="27"/>
        <v/>
      </c>
      <c r="M90" s="218" t="str">
        <f>IF(H90="","",H90/3600)</f>
        <v/>
      </c>
      <c r="N90" s="286"/>
      <c r="O90" s="219" t="str">
        <f t="shared" si="28"/>
        <v/>
      </c>
      <c r="P90" s="291"/>
      <c r="U90" s="27" t="s">
        <v>85</v>
      </c>
      <c r="V90" s="247"/>
      <c r="W90" s="297" t="str">
        <f>IF(C90&lt;&gt;0,IF(C90&lt;0,0,C90),"")</f>
        <v/>
      </c>
      <c r="X90" s="270" t="str">
        <f>IF(ISERROR((W90*AG90)),"",(W90*AG90))</f>
        <v/>
      </c>
      <c r="Y90" s="162" t="s">
        <v>85</v>
      </c>
      <c r="Z90" s="119">
        <v>600</v>
      </c>
      <c r="AG90" s="119">
        <v>83</v>
      </c>
    </row>
    <row r="91" spans="1:33" ht="16.5" thickTop="1" thickBot="1">
      <c r="B91" s="196" t="s">
        <v>94</v>
      </c>
      <c r="C91" s="197"/>
      <c r="D91" s="223" t="str">
        <f>IF(B83="","",IF(B83=0,0,C94-SUM(E94:E98)))</f>
        <v/>
      </c>
      <c r="V91" s="36" t="str">
        <f>IF(SUM(V86:V90)&lt;&gt;0,SUM(V86:V90),"")</f>
        <v/>
      </c>
      <c r="W91" s="298" t="str">
        <f>IF(SUM(W86:W90)&lt;&gt;0,SUM(W86:W90),"")</f>
        <v/>
      </c>
      <c r="X91" s="186">
        <f>IF(ISERROR((SUM(X86:X90))),"",(SUM(X86:X90)))</f>
        <v>0</v>
      </c>
    </row>
    <row r="92" spans="1:33" ht="16.5" thickTop="1" thickBot="1">
      <c r="D92" s="117" t="str">
        <f>IF(D91&lt;0,"LIMIT REACHED!","")</f>
        <v/>
      </c>
      <c r="J92" s="163"/>
      <c r="K92" s="163"/>
      <c r="L92" s="164"/>
      <c r="M92" s="165"/>
      <c r="N92" s="165"/>
      <c r="O92" s="164"/>
      <c r="P92" s="164"/>
      <c r="Q92" s="164"/>
      <c r="R92" s="164"/>
      <c r="Y92" s="307" t="s">
        <v>93</v>
      </c>
      <c r="Z92" s="307"/>
      <c r="AA92" s="307"/>
      <c r="AB92" s="307"/>
    </row>
    <row r="93" spans="1:33" ht="16.5" thickTop="1" thickBot="1">
      <c r="B93" s="8" t="s">
        <v>87</v>
      </c>
      <c r="C93" s="134" t="s">
        <v>96</v>
      </c>
      <c r="D93" s="167" t="s">
        <v>34</v>
      </c>
      <c r="E93" s="134" t="s">
        <v>95</v>
      </c>
      <c r="G93" s="68"/>
      <c r="H93" s="150"/>
      <c r="I93" s="150"/>
      <c r="J93" s="69" t="s">
        <v>49</v>
      </c>
      <c r="K93" s="69"/>
      <c r="L93" s="70" t="s">
        <v>50</v>
      </c>
      <c r="M93" s="224"/>
      <c r="N93" s="224"/>
      <c r="O93" s="70" t="s">
        <v>51</v>
      </c>
      <c r="P93" s="241"/>
      <c r="Q93" s="328" t="s">
        <v>52</v>
      </c>
      <c r="R93" s="329"/>
      <c r="Y93" s="159" t="s">
        <v>87</v>
      </c>
      <c r="Z93" s="125" t="s">
        <v>49</v>
      </c>
      <c r="AA93" s="125" t="s">
        <v>50</v>
      </c>
      <c r="AB93" s="125" t="s">
        <v>51</v>
      </c>
      <c r="AC93" s="125" t="s">
        <v>52</v>
      </c>
    </row>
    <row r="94" spans="1:33" ht="15.75" thickTop="1">
      <c r="B94" s="10" t="s">
        <v>82</v>
      </c>
      <c r="C94" s="119" t="e">
        <f>CHOOSE(B83,C116,C117,C118,C119,C120,C121,C122,C123,C124,C125)</f>
        <v>#VALUE!</v>
      </c>
      <c r="D94" s="11" t="str">
        <f>IF(W86&lt;&gt;0,W86,"")</f>
        <v/>
      </c>
      <c r="E94" s="113">
        <f>D86*1</f>
        <v>0</v>
      </c>
      <c r="G94" s="319" t="s">
        <v>92</v>
      </c>
      <c r="H94" s="146"/>
      <c r="I94" s="271"/>
      <c r="J94" s="71" t="str">
        <f>IF(D94="","",D94*Z94)</f>
        <v/>
      </c>
      <c r="K94" s="71"/>
      <c r="L94" s="177" t="str">
        <f>IF(D94="","",D94*AA94)</f>
        <v/>
      </c>
      <c r="M94" s="176"/>
      <c r="N94" s="176"/>
      <c r="O94" s="177" t="str">
        <f>IF(D94="","",D94*AB94)</f>
        <v/>
      </c>
      <c r="P94" s="290"/>
      <c r="Q94" s="322" t="str">
        <f>IF(D94="","",D94*AC94)</f>
        <v/>
      </c>
      <c r="R94" s="323"/>
      <c r="Y94" s="159" t="s">
        <v>82</v>
      </c>
      <c r="Z94" s="125">
        <v>50</v>
      </c>
      <c r="AA94" s="125">
        <v>500</v>
      </c>
      <c r="AB94" s="125">
        <v>100</v>
      </c>
      <c r="AC94" s="125">
        <v>50</v>
      </c>
    </row>
    <row r="95" spans="1:33">
      <c r="B95" s="18" t="s">
        <v>83</v>
      </c>
      <c r="D95" s="112" t="str">
        <f>IF(W87&lt;&gt;0,W87,"")</f>
        <v/>
      </c>
      <c r="E95" s="142">
        <f>D87*2</f>
        <v>0</v>
      </c>
      <c r="F95" s="142"/>
      <c r="G95" s="320"/>
      <c r="H95" s="147"/>
      <c r="I95" s="125"/>
      <c r="J95" s="72" t="str">
        <f>IF(D95="","",D95*Z95)</f>
        <v/>
      </c>
      <c r="K95" s="72"/>
      <c r="L95" s="73" t="str">
        <f>IF(D95="","",D95*AA95)</f>
        <v/>
      </c>
      <c r="M95" s="176"/>
      <c r="N95" s="176"/>
      <c r="O95" s="73" t="str">
        <f>IF(D95="","",D95*AB95)</f>
        <v/>
      </c>
      <c r="P95" s="290"/>
      <c r="Q95" s="324" t="str">
        <f>IF(D95="","",D95*AC95)</f>
        <v/>
      </c>
      <c r="R95" s="325"/>
      <c r="Y95" s="159" t="s">
        <v>83</v>
      </c>
      <c r="Z95" s="125">
        <v>0</v>
      </c>
      <c r="AA95" s="125">
        <v>100</v>
      </c>
      <c r="AB95" s="125">
        <v>1200</v>
      </c>
      <c r="AC95" s="125">
        <v>100</v>
      </c>
    </row>
    <row r="96" spans="1:33">
      <c r="B96" s="18" t="s">
        <v>84</v>
      </c>
      <c r="D96" s="112" t="str">
        <f>IF(W88&lt;&gt;0,W88,"")</f>
        <v/>
      </c>
      <c r="E96" s="142">
        <f>D88*4</f>
        <v>0</v>
      </c>
      <c r="F96" s="142"/>
      <c r="G96" s="320"/>
      <c r="H96" s="147"/>
      <c r="I96" s="125"/>
      <c r="J96" s="72" t="str">
        <f>IF(D96="","",D96*Z96)</f>
        <v/>
      </c>
      <c r="K96" s="72"/>
      <c r="L96" s="73" t="str">
        <f>IF(D96="","",D96*AA96)</f>
        <v/>
      </c>
      <c r="M96" s="176"/>
      <c r="N96" s="176"/>
      <c r="O96" s="73" t="str">
        <f>IF(D96="","",D96*AB96)</f>
        <v/>
      </c>
      <c r="P96" s="290"/>
      <c r="Q96" s="324" t="str">
        <f>IF(D96="","",D96*AC96)</f>
        <v/>
      </c>
      <c r="R96" s="325"/>
      <c r="Y96" s="159" t="s">
        <v>84</v>
      </c>
      <c r="Z96" s="125">
        <v>300</v>
      </c>
      <c r="AA96" s="125">
        <v>6000</v>
      </c>
      <c r="AB96" s="125">
        <v>0</v>
      </c>
      <c r="AC96" s="125">
        <v>0</v>
      </c>
    </row>
    <row r="97" spans="1:29">
      <c r="B97" s="18" t="s">
        <v>86</v>
      </c>
      <c r="D97" s="112" t="str">
        <f>IF(W89&lt;&gt;0,W89,"")</f>
        <v/>
      </c>
      <c r="E97" s="142">
        <f>D89*3</f>
        <v>0</v>
      </c>
      <c r="F97" s="142"/>
      <c r="G97" s="320"/>
      <c r="H97" s="147"/>
      <c r="I97" s="125"/>
      <c r="J97" s="72" t="str">
        <f>IF(D97="","",D97*Z97)</f>
        <v/>
      </c>
      <c r="K97" s="72"/>
      <c r="L97" s="73" t="str">
        <f>IF(D97="","",D97*AA97)</f>
        <v/>
      </c>
      <c r="M97" s="176"/>
      <c r="N97" s="176"/>
      <c r="O97" s="73" t="str">
        <f>IF(D97="","",D97*AB97)</f>
        <v/>
      </c>
      <c r="P97" s="290"/>
      <c r="Q97" s="324" t="str">
        <f>IF(D97="","",D97*AC97)</f>
        <v/>
      </c>
      <c r="R97" s="325"/>
      <c r="Y97" s="159" t="s">
        <v>86</v>
      </c>
      <c r="Z97" s="125">
        <v>200</v>
      </c>
      <c r="AA97" s="125">
        <v>2000</v>
      </c>
      <c r="AB97" s="125">
        <v>1000</v>
      </c>
      <c r="AC97" s="125">
        <v>500</v>
      </c>
    </row>
    <row r="98" spans="1:29" ht="16.5" customHeight="1" thickBot="1">
      <c r="B98" s="27" t="s">
        <v>85</v>
      </c>
      <c r="C98" s="166"/>
      <c r="D98" s="28" t="str">
        <f>IF(W90&lt;&gt;0,W90,"")</f>
        <v/>
      </c>
      <c r="E98" s="142">
        <f>D90*5</f>
        <v>0</v>
      </c>
      <c r="F98" s="142"/>
      <c r="G98" s="321"/>
      <c r="H98" s="147"/>
      <c r="I98" s="125"/>
      <c r="J98" s="72" t="str">
        <f>IF(D98="","",D98*Z98)</f>
        <v/>
      </c>
      <c r="K98" s="72"/>
      <c r="L98" s="73" t="str">
        <f>IF(D98="","",D98*AA98)</f>
        <v/>
      </c>
      <c r="M98" s="176"/>
      <c r="N98" s="176"/>
      <c r="O98" s="73" t="str">
        <f>IF(D98="","",D98*AB98)</f>
        <v/>
      </c>
      <c r="P98" s="290"/>
      <c r="Q98" s="326" t="str">
        <f>IF(D98="","",D98*AC98)</f>
        <v/>
      </c>
      <c r="R98" s="327"/>
      <c r="Y98" s="159" t="s">
        <v>85</v>
      </c>
      <c r="Z98" s="125">
        <v>600</v>
      </c>
      <c r="AA98" s="125">
        <v>0</v>
      </c>
      <c r="AB98" s="125">
        <v>8000</v>
      </c>
      <c r="AC98" s="125">
        <v>0</v>
      </c>
    </row>
    <row r="99" spans="1:29" ht="16.5" thickTop="1" thickBot="1">
      <c r="A99" s="107"/>
      <c r="C99" s="136"/>
      <c r="D99" s="116"/>
      <c r="E99" s="118"/>
      <c r="F99" s="118"/>
      <c r="G99" s="107"/>
      <c r="H99" s="118"/>
      <c r="I99" s="118"/>
      <c r="J99" s="76" t="str">
        <f>IF(SUM(J94:J98)=0,"",SUM(J94:J98))</f>
        <v/>
      </c>
      <c r="K99" s="275"/>
      <c r="L99" s="77" t="str">
        <f>IF(SUM(L94:L98)=0,"",SUM(L94:L98))</f>
        <v/>
      </c>
      <c r="M99" s="192"/>
      <c r="N99" s="192"/>
      <c r="O99" s="77" t="str">
        <f>IF(SUM(O94:O98)=0,"",SUM(O94:O98))</f>
        <v/>
      </c>
      <c r="P99" s="239"/>
      <c r="Q99" s="317" t="str">
        <f>IF(SUM(Q94:R98)=0,"",SUM(Q94:R98))</f>
        <v/>
      </c>
      <c r="R99" s="318"/>
    </row>
    <row r="100" spans="1:29" ht="15.75" thickTop="1">
      <c r="A100" s="107"/>
      <c r="B100" s="107"/>
      <c r="C100" s="118"/>
      <c r="D100" s="225"/>
      <c r="E100" s="118"/>
      <c r="F100" s="118"/>
      <c r="G100" s="107"/>
      <c r="H100" s="118"/>
      <c r="I100" s="118"/>
      <c r="J100" s="115">
        <f>IF(J55&lt;0,0,J55)</f>
        <v>0</v>
      </c>
      <c r="K100" s="115"/>
      <c r="L100" s="115">
        <f>IF(L55&lt;0,0,L55)</f>
        <v>0</v>
      </c>
      <c r="M100" s="118"/>
      <c r="N100" s="118"/>
      <c r="O100" s="115">
        <f>IF(O55&lt;0,0,O55)</f>
        <v>0</v>
      </c>
      <c r="P100" s="115"/>
      <c r="R100" s="115">
        <f>IF(R55&lt;0,0,R55)</f>
        <v>0</v>
      </c>
    </row>
    <row r="101" spans="1:29" ht="18.75" customHeight="1" thickBot="1">
      <c r="A101" s="111"/>
      <c r="B101" s="111"/>
      <c r="C101" s="118"/>
      <c r="H101" s="118"/>
      <c r="I101" s="118"/>
      <c r="J101" s="308" t="s">
        <v>56</v>
      </c>
      <c r="K101" s="308"/>
      <c r="L101" s="309"/>
      <c r="M101" s="309"/>
      <c r="N101" s="309"/>
      <c r="O101" s="309"/>
      <c r="P101" s="309"/>
      <c r="Q101" s="309"/>
      <c r="R101" s="309"/>
      <c r="S101" s="269">
        <v>0</v>
      </c>
      <c r="T101" s="312" t="s">
        <v>97</v>
      </c>
      <c r="U101" s="312"/>
      <c r="V101" s="313"/>
    </row>
    <row r="102" spans="1:29" ht="15.75" customHeight="1" thickTop="1" thickBot="1">
      <c r="A102" s="111"/>
      <c r="B102" s="58"/>
      <c r="C102" s="58"/>
      <c r="E102" s="58"/>
      <c r="F102" s="58"/>
      <c r="G102" s="58"/>
      <c r="H102" s="118"/>
      <c r="I102" s="118"/>
      <c r="J102" s="256"/>
      <c r="K102" s="276"/>
      <c r="L102" s="257"/>
      <c r="M102" s="258"/>
      <c r="N102" s="258"/>
      <c r="O102" s="257"/>
      <c r="P102" s="259"/>
      <c r="Q102" s="310"/>
      <c r="R102" s="311"/>
      <c r="S102" s="92"/>
      <c r="T102" s="314"/>
      <c r="U102" s="315"/>
      <c r="V102" s="316"/>
    </row>
    <row r="103" spans="1:29" ht="16.5" thickTop="1" thickBot="1">
      <c r="A103" s="111"/>
      <c r="B103" s="111"/>
      <c r="C103" s="118"/>
      <c r="D103" s="225"/>
      <c r="E103" s="118"/>
      <c r="F103" s="118"/>
      <c r="G103" s="111"/>
      <c r="H103" s="118"/>
      <c r="I103" s="118"/>
      <c r="J103" s="115">
        <f>IF(S101=0,J102,J100)</f>
        <v>0</v>
      </c>
      <c r="K103" s="115"/>
      <c r="L103" s="115">
        <f>IF(S101=0,L102,L100)</f>
        <v>0</v>
      </c>
      <c r="O103" s="115">
        <f>IF(S101=0,O102,O100)</f>
        <v>0</v>
      </c>
      <c r="P103" s="115"/>
      <c r="Q103" s="114"/>
      <c r="R103" s="115">
        <f>IF(S101=0,Q102,R100)</f>
        <v>0</v>
      </c>
    </row>
    <row r="104" spans="1:29" ht="16.5" thickTop="1" thickBot="1">
      <c r="A104" s="111"/>
      <c r="B104" s="111"/>
      <c r="C104" s="118"/>
      <c r="D104" s="111"/>
      <c r="E104" s="118"/>
      <c r="F104" s="118"/>
      <c r="G104" s="111"/>
      <c r="H104" s="118"/>
      <c r="I104" s="118"/>
      <c r="J104" s="308" t="s">
        <v>57</v>
      </c>
      <c r="K104" s="308"/>
      <c r="L104" s="309"/>
      <c r="M104" s="309"/>
      <c r="N104" s="309"/>
      <c r="O104" s="309"/>
      <c r="P104" s="309"/>
      <c r="Q104" s="309"/>
      <c r="R104" s="309"/>
      <c r="V104" s="369" t="s">
        <v>127</v>
      </c>
      <c r="W104" s="362" t="s">
        <v>22</v>
      </c>
    </row>
    <row r="105" spans="1:29" ht="16.5" thickTop="1" thickBot="1">
      <c r="A105" s="111"/>
      <c r="B105" s="111"/>
      <c r="C105" s="118"/>
      <c r="D105" s="111"/>
      <c r="E105" s="118"/>
      <c r="F105" s="118"/>
      <c r="G105" s="111"/>
      <c r="H105" s="118"/>
      <c r="I105" s="118"/>
      <c r="J105" s="226" t="str">
        <f>IF(ISERROR((J99-J103)),"",(J99-J103))</f>
        <v/>
      </c>
      <c r="K105" s="281"/>
      <c r="L105" s="77" t="str">
        <f>IF(ISERROR((L99-L103)),"",(L99-L103))</f>
        <v/>
      </c>
      <c r="M105" s="154">
        <f>IF(ISERROR((M99-M103)),"",(M99-M103))</f>
        <v>0</v>
      </c>
      <c r="N105" s="154"/>
      <c r="O105" s="77" t="str">
        <f>IF(ISERROR((O99-O103)),"",(O99-O103))</f>
        <v/>
      </c>
      <c r="P105" s="239"/>
      <c r="Q105" s="302" t="str">
        <f>IF(ISERROR((Q99-R103)),"",(Q99-R103))</f>
        <v/>
      </c>
      <c r="R105" s="303"/>
      <c r="U105" s="363" t="s">
        <v>49</v>
      </c>
      <c r="V105" s="370">
        <v>100</v>
      </c>
      <c r="W105" s="368" t="str">
        <f>IF(ISERROR((AC105)),"",(AC105))</f>
        <v/>
      </c>
      <c r="X105" s="361"/>
      <c r="AA105" s="119" t="str">
        <f>IF(AND(J105&lt;&gt;"",J105&lt;&gt;"Nil"),J105,"Excess")</f>
        <v>Excess</v>
      </c>
      <c r="AC105" s="359" t="e">
        <f>J105/V105</f>
        <v>#VALUE!</v>
      </c>
    </row>
    <row r="106" spans="1:29" ht="15.75" thickTop="1">
      <c r="A106" s="111"/>
      <c r="B106" s="111"/>
      <c r="C106" s="118"/>
      <c r="D106" s="111"/>
      <c r="E106" s="118"/>
      <c r="F106" s="118"/>
      <c r="G106" s="111"/>
      <c r="H106" s="118"/>
      <c r="I106" s="118"/>
      <c r="U106" s="364" t="s">
        <v>50</v>
      </c>
      <c r="V106" s="371">
        <v>100</v>
      </c>
      <c r="W106" s="367" t="str">
        <f>IF(ISERROR((AC106)),"",(AC106))</f>
        <v/>
      </c>
      <c r="X106" s="361"/>
      <c r="AA106" s="119" t="str">
        <f>IF(AND(K105&lt;&gt;"",K105&lt;&gt;"Nil"),K105,"Excess")</f>
        <v>Excess</v>
      </c>
      <c r="AC106" s="359" t="e">
        <f>L105/V106</f>
        <v>#VALUE!</v>
      </c>
    </row>
    <row r="107" spans="1:29" ht="15.75" thickBot="1">
      <c r="A107" s="111"/>
      <c r="B107" s="111"/>
      <c r="C107" s="118"/>
      <c r="D107" s="111"/>
      <c r="E107" s="118"/>
      <c r="F107" s="118"/>
      <c r="G107" s="111"/>
      <c r="H107" s="118"/>
      <c r="I107" s="118"/>
      <c r="J107" s="308" t="s">
        <v>59</v>
      </c>
      <c r="K107" s="308"/>
      <c r="L107" s="309"/>
      <c r="M107" s="309"/>
      <c r="N107" s="309"/>
      <c r="O107" s="309"/>
      <c r="P107" s="309"/>
      <c r="Q107" s="309"/>
      <c r="R107" s="309"/>
      <c r="U107" s="364" t="s">
        <v>51</v>
      </c>
      <c r="V107" s="372">
        <v>100</v>
      </c>
      <c r="W107" s="367" t="str">
        <f>IF(ISERROR((AC107)),"",(AC107))</f>
        <v/>
      </c>
      <c r="X107" s="361"/>
      <c r="AA107" s="119" t="str">
        <f>IF(AND(O105&lt;&gt;"",O105&lt;&gt;"Nil"),O105,"Excess")</f>
        <v>Excess</v>
      </c>
      <c r="AC107" s="359" t="e">
        <f>O105/V107</f>
        <v>#VALUE!</v>
      </c>
    </row>
    <row r="108" spans="1:29" ht="16.5" thickTop="1" thickBot="1">
      <c r="A108" s="111"/>
      <c r="B108" s="111"/>
      <c r="C108" s="118"/>
      <c r="D108" s="111"/>
      <c r="E108" s="118"/>
      <c r="F108" s="118"/>
      <c r="G108" s="111"/>
      <c r="H108" s="118"/>
      <c r="I108" s="118"/>
      <c r="J108" s="256"/>
      <c r="K108" s="276"/>
      <c r="L108" s="257"/>
      <c r="M108" s="258"/>
      <c r="N108" s="258"/>
      <c r="O108" s="257"/>
      <c r="P108" s="259"/>
      <c r="Q108" s="310"/>
      <c r="R108" s="311"/>
      <c r="U108" s="365" t="s">
        <v>52</v>
      </c>
      <c r="V108" s="373">
        <v>100</v>
      </c>
      <c r="W108" s="366" t="str">
        <f>IF(ISERROR((AC108)),"",(AC108))</f>
        <v/>
      </c>
      <c r="X108" s="361"/>
      <c r="AA108" s="119" t="str">
        <f>IF(AND(Q105&lt;&gt;"",Q105&lt;&gt;"Nil"),Q105,"Excess")</f>
        <v>Excess</v>
      </c>
      <c r="AC108" s="359" t="e">
        <f>Q105/V108</f>
        <v>#VALUE!</v>
      </c>
    </row>
    <row r="109" spans="1:29" ht="15.75" thickTop="1">
      <c r="A109" s="111"/>
      <c r="B109" s="111"/>
      <c r="C109" s="118"/>
      <c r="D109" s="111"/>
      <c r="E109" s="118"/>
      <c r="F109" s="118"/>
      <c r="G109" s="111"/>
      <c r="H109" s="118"/>
      <c r="I109" s="118"/>
      <c r="W109" s="360" t="s">
        <v>128</v>
      </c>
      <c r="X109" s="360"/>
    </row>
    <row r="110" spans="1:29" ht="15.75" thickBot="1">
      <c r="A110" s="111"/>
      <c r="B110" s="111"/>
      <c r="C110" s="118"/>
      <c r="D110" s="111"/>
      <c r="E110" s="118"/>
      <c r="F110" s="118"/>
      <c r="G110" s="111"/>
      <c r="H110" s="118"/>
      <c r="I110" s="118"/>
      <c r="J110" s="308" t="s">
        <v>58</v>
      </c>
      <c r="K110" s="308"/>
      <c r="L110" s="309"/>
      <c r="M110" s="309"/>
      <c r="N110" s="309"/>
      <c r="O110" s="309"/>
      <c r="P110" s="309"/>
      <c r="Q110" s="309"/>
      <c r="R110" s="309"/>
      <c r="W110" s="360"/>
      <c r="X110" s="360"/>
    </row>
    <row r="111" spans="1:29" ht="16.5" thickTop="1" thickBot="1">
      <c r="A111" s="107"/>
      <c r="B111" s="107"/>
      <c r="C111" s="118"/>
      <c r="D111" s="107"/>
      <c r="E111" s="118"/>
      <c r="F111" s="118"/>
      <c r="G111" s="107"/>
      <c r="H111" s="118"/>
      <c r="I111" s="118"/>
      <c r="J111" s="76" t="str">
        <f>IF(ISERROR((J108*J105)),"",(J108*J105))</f>
        <v/>
      </c>
      <c r="K111" s="275"/>
      <c r="L111" s="77" t="str">
        <f>IF(ISERROR((L108*L105)),"",(L108*L105))</f>
        <v/>
      </c>
      <c r="M111" s="154"/>
      <c r="N111" s="154"/>
      <c r="O111" s="77" t="str">
        <f>IF(ISERROR((O108*O105)),"",(O108*O105))</f>
        <v/>
      </c>
      <c r="P111" s="239"/>
      <c r="Q111" s="302" t="str">
        <f>IF(ISERROR((Q108*Q105)),"",(Q108*Q105))</f>
        <v/>
      </c>
      <c r="R111" s="303"/>
    </row>
    <row r="112" spans="1:29" ht="15.75" thickTop="1">
      <c r="A112" s="107"/>
      <c r="B112" s="107"/>
      <c r="C112" s="118"/>
      <c r="D112" s="107"/>
      <c r="E112" s="118"/>
      <c r="F112" s="118"/>
      <c r="G112" s="107"/>
      <c r="H112" s="118"/>
      <c r="I112" s="118"/>
      <c r="J112" s="107"/>
      <c r="K112" s="240"/>
      <c r="L112" s="107"/>
      <c r="M112" s="118"/>
      <c r="N112" s="118"/>
      <c r="O112" s="107"/>
      <c r="P112" s="240"/>
    </row>
    <row r="113" spans="1:23">
      <c r="A113" s="111"/>
      <c r="B113" s="111"/>
      <c r="C113" s="118"/>
      <c r="D113" s="111"/>
      <c r="E113" s="118"/>
      <c r="F113" s="118"/>
      <c r="G113" s="111"/>
      <c r="H113" s="118"/>
      <c r="I113" s="118"/>
      <c r="J113" s="111"/>
      <c r="K113" s="240"/>
      <c r="L113" s="111"/>
      <c r="M113" s="118"/>
      <c r="N113" s="118"/>
      <c r="O113" s="111"/>
      <c r="P113" s="240"/>
    </row>
    <row r="114" spans="1:23">
      <c r="A114" s="111"/>
      <c r="B114" s="111"/>
      <c r="C114" s="118"/>
      <c r="D114" s="111"/>
      <c r="E114" s="118"/>
      <c r="F114" s="118"/>
      <c r="G114" s="111"/>
      <c r="H114" s="118"/>
      <c r="I114" s="118"/>
      <c r="J114" s="111"/>
      <c r="K114" s="240"/>
      <c r="L114" s="111"/>
      <c r="M114" s="118"/>
      <c r="N114" s="118"/>
      <c r="O114" s="111"/>
      <c r="P114" s="240"/>
    </row>
    <row r="115" spans="1:23">
      <c r="A115" s="111"/>
      <c r="B115" s="111"/>
      <c r="C115" s="118"/>
      <c r="D115" s="111"/>
      <c r="E115" s="118"/>
      <c r="F115" s="118"/>
      <c r="G115" s="111"/>
      <c r="H115" s="118"/>
      <c r="I115" s="118"/>
      <c r="J115" s="111"/>
      <c r="K115" s="240"/>
      <c r="L115" s="111"/>
      <c r="M115" s="118"/>
      <c r="N115" s="118"/>
      <c r="O115" s="111"/>
      <c r="P115" s="240"/>
    </row>
    <row r="116" spans="1:23" s="119" customFormat="1" hidden="1">
      <c r="A116" s="118"/>
      <c r="B116" s="118">
        <v>1</v>
      </c>
      <c r="C116" s="118">
        <v>1000</v>
      </c>
      <c r="D116" s="118"/>
      <c r="E116" s="118"/>
      <c r="F116" s="118"/>
      <c r="G116" s="118"/>
      <c r="H116" s="118"/>
      <c r="I116" s="118"/>
      <c r="J116" s="118"/>
      <c r="K116" s="118"/>
      <c r="L116" s="118"/>
      <c r="M116" s="118"/>
      <c r="N116" s="118"/>
      <c r="O116" s="118"/>
      <c r="P116" s="118"/>
      <c r="W116" s="120"/>
    </row>
    <row r="117" spans="1:23" s="119" customFormat="1" hidden="1">
      <c r="A117" s="118"/>
      <c r="B117" s="118">
        <v>2</v>
      </c>
      <c r="C117" s="118">
        <v>3000</v>
      </c>
      <c r="D117" s="118"/>
      <c r="E117" s="118"/>
      <c r="F117" s="118"/>
      <c r="G117" s="118"/>
      <c r="H117" s="118"/>
      <c r="I117" s="118"/>
      <c r="J117" s="118"/>
      <c r="K117" s="118"/>
      <c r="L117" s="118"/>
      <c r="M117" s="118"/>
      <c r="N117" s="118"/>
      <c r="O117" s="118"/>
      <c r="P117" s="118"/>
      <c r="W117" s="120"/>
    </row>
    <row r="118" spans="1:23" s="119" customFormat="1" hidden="1">
      <c r="A118" s="118"/>
      <c r="B118" s="118">
        <v>3</v>
      </c>
      <c r="C118" s="118">
        <v>6000</v>
      </c>
      <c r="D118" s="118"/>
      <c r="E118" s="118"/>
      <c r="F118" s="118"/>
      <c r="G118" s="118"/>
      <c r="H118" s="118"/>
      <c r="I118" s="118"/>
      <c r="J118" s="118"/>
      <c r="K118" s="118"/>
      <c r="L118" s="118"/>
      <c r="M118" s="118"/>
      <c r="N118" s="118"/>
      <c r="O118" s="118"/>
      <c r="P118" s="118"/>
      <c r="W118" s="120"/>
    </row>
    <row r="119" spans="1:23" s="119" customFormat="1" hidden="1">
      <c r="A119" s="118"/>
      <c r="B119" s="118">
        <v>4</v>
      </c>
      <c r="C119" s="118">
        <v>10000</v>
      </c>
      <c r="D119" s="118"/>
      <c r="E119" s="118"/>
      <c r="F119" s="118"/>
      <c r="G119" s="118"/>
      <c r="H119" s="118"/>
      <c r="I119" s="118"/>
      <c r="J119" s="118"/>
      <c r="K119" s="118"/>
      <c r="L119" s="118"/>
      <c r="M119" s="118"/>
      <c r="N119" s="118"/>
      <c r="O119" s="118"/>
      <c r="P119" s="118"/>
      <c r="W119" s="120"/>
    </row>
    <row r="120" spans="1:23" s="119" customFormat="1" hidden="1">
      <c r="A120" s="118"/>
      <c r="B120" s="118">
        <v>5</v>
      </c>
      <c r="C120" s="118">
        <v>15000</v>
      </c>
      <c r="D120" s="118"/>
      <c r="E120" s="118"/>
      <c r="F120" s="118"/>
      <c r="G120" s="118"/>
      <c r="H120" s="118"/>
      <c r="I120" s="118"/>
      <c r="J120" s="118"/>
      <c r="K120" s="118"/>
      <c r="L120" s="118"/>
      <c r="M120" s="118"/>
      <c r="N120" s="118"/>
      <c r="O120" s="118"/>
      <c r="P120" s="118"/>
      <c r="W120" s="120"/>
    </row>
    <row r="121" spans="1:23" s="119" customFormat="1" hidden="1">
      <c r="A121" s="118"/>
      <c r="B121" s="118">
        <v>6</v>
      </c>
      <c r="C121" s="118">
        <v>21000</v>
      </c>
      <c r="D121" s="118"/>
      <c r="E121" s="118"/>
      <c r="F121" s="118"/>
      <c r="G121" s="118"/>
      <c r="H121" s="118"/>
      <c r="I121" s="118"/>
      <c r="J121" s="118"/>
      <c r="K121" s="118"/>
      <c r="L121" s="118"/>
      <c r="M121" s="118"/>
      <c r="N121" s="118"/>
      <c r="O121" s="118"/>
      <c r="P121" s="118"/>
      <c r="W121" s="120"/>
    </row>
    <row r="122" spans="1:23" s="119" customFormat="1" hidden="1">
      <c r="A122" s="118"/>
      <c r="B122" s="118">
        <v>7</v>
      </c>
      <c r="C122" s="118">
        <v>28000</v>
      </c>
      <c r="D122" s="118"/>
      <c r="E122" s="118"/>
      <c r="F122" s="118"/>
      <c r="G122" s="118"/>
      <c r="H122" s="118"/>
      <c r="I122" s="118"/>
      <c r="J122" s="118"/>
      <c r="K122" s="118"/>
      <c r="L122" s="118"/>
      <c r="M122" s="118"/>
      <c r="N122" s="118"/>
      <c r="O122" s="118"/>
      <c r="P122" s="118"/>
      <c r="W122" s="120"/>
    </row>
    <row r="123" spans="1:23" s="119" customFormat="1" hidden="1">
      <c r="A123" s="118"/>
      <c r="B123" s="118">
        <v>8</v>
      </c>
      <c r="C123" s="118">
        <v>36000</v>
      </c>
      <c r="D123" s="118"/>
      <c r="E123" s="118"/>
      <c r="F123" s="118"/>
      <c r="G123" s="118"/>
      <c r="H123" s="118"/>
      <c r="I123" s="118"/>
      <c r="J123" s="118"/>
      <c r="K123" s="118"/>
      <c r="L123" s="118"/>
      <c r="M123" s="118"/>
      <c r="N123" s="118"/>
      <c r="O123" s="118"/>
      <c r="P123" s="118"/>
      <c r="W123" s="120"/>
    </row>
    <row r="124" spans="1:23" s="119" customFormat="1" hidden="1">
      <c r="A124" s="118"/>
      <c r="B124" s="118">
        <v>9</v>
      </c>
      <c r="C124" s="118">
        <v>45000</v>
      </c>
      <c r="D124" s="118"/>
      <c r="E124" s="118"/>
      <c r="F124" s="118"/>
      <c r="G124" s="118"/>
      <c r="H124" s="118"/>
      <c r="I124" s="118"/>
      <c r="J124" s="118"/>
      <c r="K124" s="118"/>
      <c r="L124" s="118"/>
      <c r="M124" s="118"/>
      <c r="N124" s="118"/>
      <c r="O124" s="118"/>
      <c r="P124" s="118"/>
      <c r="W124" s="120"/>
    </row>
    <row r="125" spans="1:23" s="119" customFormat="1" hidden="1">
      <c r="A125" s="118"/>
      <c r="B125" s="118">
        <v>10</v>
      </c>
      <c r="C125" s="118">
        <v>55000</v>
      </c>
      <c r="D125" s="118"/>
      <c r="E125" s="118"/>
      <c r="F125" s="118"/>
      <c r="G125" s="118"/>
      <c r="H125" s="118"/>
      <c r="I125" s="118"/>
      <c r="J125" s="118"/>
      <c r="K125" s="118"/>
      <c r="L125" s="118"/>
      <c r="M125" s="118"/>
      <c r="N125" s="118"/>
      <c r="O125" s="118"/>
      <c r="P125" s="118"/>
      <c r="W125" s="120"/>
    </row>
  </sheetData>
  <sheetProtection password="E92A" sheet="1" objects="1" scenarios="1" selectLockedCells="1"/>
  <mergeCells count="70">
    <mergeCell ref="W59:X60"/>
    <mergeCell ref="W109:X110"/>
    <mergeCell ref="Q60:R60"/>
    <mergeCell ref="J62:R62"/>
    <mergeCell ref="Q63:R63"/>
    <mergeCell ref="J53:R53"/>
    <mergeCell ref="Q44:R44"/>
    <mergeCell ref="J56:R56"/>
    <mergeCell ref="Q57:R57"/>
    <mergeCell ref="J59:R59"/>
    <mergeCell ref="G2:G13"/>
    <mergeCell ref="AB2:AB13"/>
    <mergeCell ref="S17:U17"/>
    <mergeCell ref="T18:U18"/>
    <mergeCell ref="L16:O16"/>
    <mergeCell ref="L19:O19"/>
    <mergeCell ref="Q38:R38"/>
    <mergeCell ref="Q39:R39"/>
    <mergeCell ref="G39:G50"/>
    <mergeCell ref="Q40:R40"/>
    <mergeCell ref="Q50:R50"/>
    <mergeCell ref="Q41:R41"/>
    <mergeCell ref="Q43:R43"/>
    <mergeCell ref="Q42:R42"/>
    <mergeCell ref="Q45:R45"/>
    <mergeCell ref="Q49:R49"/>
    <mergeCell ref="Q48:R48"/>
    <mergeCell ref="Q47:R47"/>
    <mergeCell ref="Q46:R46"/>
    <mergeCell ref="Q74:R74"/>
    <mergeCell ref="Q78:R78"/>
    <mergeCell ref="Q67:R67"/>
    <mergeCell ref="Q80:R80"/>
    <mergeCell ref="Q69:R69"/>
    <mergeCell ref="Q68:R68"/>
    <mergeCell ref="Q79:R79"/>
    <mergeCell ref="Q77:R77"/>
    <mergeCell ref="Q76:R76"/>
    <mergeCell ref="Q105:R105"/>
    <mergeCell ref="Q93:R93"/>
    <mergeCell ref="Q96:R96"/>
    <mergeCell ref="Q70:R70"/>
    <mergeCell ref="Y37:AB37"/>
    <mergeCell ref="Q54:R54"/>
    <mergeCell ref="Q75:R75"/>
    <mergeCell ref="Q73:R73"/>
    <mergeCell ref="Q72:R72"/>
    <mergeCell ref="Q51:R51"/>
    <mergeCell ref="W39:W50"/>
    <mergeCell ref="Z52:Z63"/>
    <mergeCell ref="V71:W71"/>
    <mergeCell ref="V72:W72"/>
    <mergeCell ref="V73:W73"/>
    <mergeCell ref="Q71:R71"/>
    <mergeCell ref="Q111:R111"/>
    <mergeCell ref="G86:G90"/>
    <mergeCell ref="Y92:AB92"/>
    <mergeCell ref="J104:R104"/>
    <mergeCell ref="J107:R107"/>
    <mergeCell ref="Q108:R108"/>
    <mergeCell ref="J110:R110"/>
    <mergeCell ref="T101:V102"/>
    <mergeCell ref="Q99:R99"/>
    <mergeCell ref="J101:R101"/>
    <mergeCell ref="Q102:R102"/>
    <mergeCell ref="G94:G98"/>
    <mergeCell ref="Q94:R94"/>
    <mergeCell ref="Q95:R95"/>
    <mergeCell ref="Q97:R97"/>
    <mergeCell ref="Q98:R98"/>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dimension ref="A1:K18"/>
  <sheetViews>
    <sheetView workbookViewId="0"/>
  </sheetViews>
  <sheetFormatPr defaultRowHeight="15"/>
  <cols>
    <col min="1" max="16384" width="9.140625" style="233"/>
  </cols>
  <sheetData>
    <row r="1" spans="1:11" ht="18.75">
      <c r="A1" s="238" t="s">
        <v>129</v>
      </c>
      <c r="B1" s="238"/>
      <c r="C1" s="350" t="s">
        <v>118</v>
      </c>
      <c r="D1" s="350"/>
      <c r="E1" s="350"/>
      <c r="F1" s="350"/>
      <c r="G1" s="350"/>
      <c r="H1" s="350"/>
      <c r="I1" s="350"/>
      <c r="J1" s="350"/>
      <c r="K1" s="350"/>
    </row>
    <row r="2" spans="1:11">
      <c r="A2" s="7"/>
      <c r="B2" s="7"/>
      <c r="C2" s="352" t="s">
        <v>117</v>
      </c>
      <c r="D2" s="352"/>
      <c r="E2" s="352"/>
      <c r="F2" s="352"/>
      <c r="G2" s="352"/>
      <c r="H2" s="352"/>
      <c r="I2" s="352"/>
      <c r="J2" s="352"/>
      <c r="K2" s="352"/>
    </row>
    <row r="3" spans="1:11">
      <c r="A3" s="7"/>
      <c r="B3" s="7"/>
      <c r="C3" s="353" t="s">
        <v>116</v>
      </c>
      <c r="D3" s="353"/>
      <c r="E3" s="353"/>
      <c r="F3" s="353"/>
      <c r="G3" s="353"/>
      <c r="H3" s="353"/>
      <c r="I3" s="353"/>
      <c r="J3" s="353"/>
      <c r="K3" s="353"/>
    </row>
    <row r="4" spans="1:11">
      <c r="A4" s="7"/>
      <c r="B4" s="7"/>
      <c r="C4" s="353"/>
      <c r="D4" s="353"/>
      <c r="E4" s="353"/>
      <c r="F4" s="353"/>
      <c r="G4" s="353"/>
      <c r="H4" s="353"/>
      <c r="I4" s="353"/>
      <c r="J4" s="353"/>
      <c r="K4" s="353"/>
    </row>
    <row r="5" spans="1:11">
      <c r="A5" s="7"/>
      <c r="B5" s="7"/>
      <c r="C5" s="353" t="s">
        <v>62</v>
      </c>
      <c r="D5" s="353"/>
      <c r="E5" s="353"/>
      <c r="F5" s="353"/>
      <c r="G5" s="353"/>
      <c r="H5" s="353"/>
      <c r="I5" s="353"/>
      <c r="J5" s="353"/>
      <c r="K5" s="353"/>
    </row>
    <row r="6" spans="1:11">
      <c r="A6" s="7"/>
      <c r="B6" s="7"/>
      <c r="C6" s="353"/>
      <c r="D6" s="353"/>
      <c r="E6" s="353"/>
      <c r="F6" s="353"/>
      <c r="G6" s="353"/>
      <c r="H6" s="353"/>
      <c r="I6" s="353"/>
      <c r="J6" s="353"/>
      <c r="K6" s="353"/>
    </row>
    <row r="7" spans="1:11">
      <c r="A7" s="7"/>
      <c r="B7" s="7"/>
      <c r="C7" s="353"/>
      <c r="D7" s="353"/>
      <c r="E7" s="353"/>
      <c r="F7" s="353"/>
      <c r="G7" s="353"/>
      <c r="H7" s="353"/>
      <c r="I7" s="353"/>
      <c r="J7" s="353"/>
      <c r="K7" s="353"/>
    </row>
    <row r="8" spans="1:11">
      <c r="A8" s="7"/>
      <c r="B8" s="7"/>
      <c r="C8" s="351" t="s">
        <v>126</v>
      </c>
      <c r="D8" s="351"/>
      <c r="E8" s="351"/>
      <c r="F8" s="351"/>
      <c r="G8" s="351"/>
      <c r="H8" s="351"/>
      <c r="I8" s="351"/>
      <c r="J8" s="351"/>
      <c r="K8" s="351"/>
    </row>
    <row r="9" spans="1:11" ht="15" customHeight="1">
      <c r="A9" s="7"/>
      <c r="B9" s="7"/>
      <c r="C9" s="351" t="s">
        <v>113</v>
      </c>
      <c r="D9" s="351"/>
      <c r="E9" s="351"/>
      <c r="F9" s="351"/>
      <c r="G9" s="351"/>
      <c r="H9" s="351"/>
      <c r="I9" s="351"/>
      <c r="J9" s="351"/>
      <c r="K9" s="351"/>
    </row>
    <row r="10" spans="1:11">
      <c r="A10" s="7"/>
      <c r="B10" s="7"/>
      <c r="C10" s="351" t="s">
        <v>114</v>
      </c>
      <c r="D10" s="351"/>
      <c r="E10" s="351"/>
      <c r="F10" s="351"/>
      <c r="G10" s="351"/>
      <c r="H10" s="351"/>
      <c r="I10" s="351"/>
      <c r="J10" s="351"/>
      <c r="K10" s="351"/>
    </row>
    <row r="11" spans="1:11">
      <c r="C11" s="349" t="s">
        <v>119</v>
      </c>
      <c r="D11" s="349"/>
      <c r="E11" s="349"/>
      <c r="F11" s="349"/>
      <c r="G11" s="349"/>
      <c r="H11" s="349"/>
      <c r="I11" s="349"/>
      <c r="J11" s="349"/>
      <c r="K11" s="349"/>
    </row>
    <row r="12" spans="1:11">
      <c r="C12" s="349" t="s">
        <v>121</v>
      </c>
      <c r="D12" s="349"/>
      <c r="E12" s="349"/>
      <c r="F12" s="349"/>
      <c r="G12" s="349"/>
      <c r="H12" s="349"/>
      <c r="I12" s="349"/>
      <c r="J12" s="349"/>
      <c r="K12" s="349"/>
    </row>
    <row r="13" spans="1:11">
      <c r="C13" s="348" t="s">
        <v>122</v>
      </c>
      <c r="D13" s="348"/>
      <c r="E13" s="348"/>
      <c r="F13" s="348"/>
      <c r="G13" s="348"/>
      <c r="H13" s="348"/>
      <c r="I13" s="348"/>
      <c r="J13" s="348"/>
      <c r="K13" s="348"/>
    </row>
    <row r="14" spans="1:11">
      <c r="C14" s="348"/>
      <c r="D14" s="348"/>
      <c r="E14" s="348"/>
      <c r="F14" s="348"/>
      <c r="G14" s="348"/>
      <c r="H14" s="348"/>
      <c r="I14" s="348"/>
      <c r="J14" s="348"/>
      <c r="K14" s="348"/>
    </row>
    <row r="15" spans="1:11">
      <c r="C15" s="348" t="s">
        <v>125</v>
      </c>
      <c r="D15" s="348"/>
      <c r="E15" s="348"/>
      <c r="F15" s="348"/>
      <c r="G15" s="348"/>
      <c r="H15" s="348"/>
      <c r="I15" s="348"/>
      <c r="J15" s="348"/>
      <c r="K15" s="348"/>
    </row>
    <row r="16" spans="1:11">
      <c r="C16" s="348"/>
      <c r="D16" s="348"/>
      <c r="E16" s="348"/>
      <c r="F16" s="348"/>
      <c r="G16" s="348"/>
      <c r="H16" s="348"/>
      <c r="I16" s="348"/>
      <c r="J16" s="348"/>
      <c r="K16" s="348"/>
    </row>
    <row r="17" spans="3:11">
      <c r="C17" s="348" t="s">
        <v>130</v>
      </c>
      <c r="D17" s="348"/>
      <c r="E17" s="348"/>
      <c r="F17" s="348"/>
      <c r="G17" s="348"/>
      <c r="H17" s="348"/>
      <c r="I17" s="348"/>
      <c r="J17" s="348"/>
      <c r="K17" s="348"/>
    </row>
    <row r="18" spans="3:11">
      <c r="C18" s="348"/>
      <c r="D18" s="348"/>
      <c r="E18" s="348"/>
      <c r="F18" s="348"/>
      <c r="G18" s="348"/>
      <c r="H18" s="348"/>
      <c r="I18" s="348"/>
      <c r="J18" s="348"/>
      <c r="K18" s="348"/>
    </row>
  </sheetData>
  <sheetProtection password="E92A" sheet="1" objects="1" scenarios="1" selectLockedCells="1"/>
  <mergeCells count="12">
    <mergeCell ref="C17:K18"/>
    <mergeCell ref="C15:K16"/>
    <mergeCell ref="C12:K12"/>
    <mergeCell ref="C13:K14"/>
    <mergeCell ref="C1:K1"/>
    <mergeCell ref="C9:K9"/>
    <mergeCell ref="C10:K10"/>
    <mergeCell ref="C11:K11"/>
    <mergeCell ref="C2:K2"/>
    <mergeCell ref="C8:K8"/>
    <mergeCell ref="C5:K7"/>
    <mergeCell ref="C3:K4"/>
  </mergeCells>
  <pageMargins left="0.7" right="0.7" top="0.75" bottom="0.75" header="0.3" footer="0.3"/>
  <pageSetup orientation="portrait" verticalDpi="0" r:id="rId1"/>
</worksheet>
</file>

<file path=xl/worksheets/sheet5.xml><?xml version="1.0" encoding="utf-8"?>
<worksheet xmlns="http://schemas.openxmlformats.org/spreadsheetml/2006/main" xmlns:r="http://schemas.openxmlformats.org/officeDocument/2006/relationships">
  <dimension ref="B2:O19"/>
  <sheetViews>
    <sheetView workbookViewId="0"/>
  </sheetViews>
  <sheetFormatPr defaultRowHeight="15"/>
  <cols>
    <col min="1" max="16384" width="9.140625" style="235"/>
  </cols>
  <sheetData>
    <row r="2" spans="2:15" ht="18.75">
      <c r="B2" s="356" t="s">
        <v>98</v>
      </c>
      <c r="C2" s="356"/>
      <c r="D2" s="356"/>
      <c r="E2" s="356"/>
      <c r="F2" s="234"/>
      <c r="G2" s="354" t="s">
        <v>99</v>
      </c>
      <c r="H2" s="354"/>
      <c r="I2" s="354"/>
      <c r="J2" s="354"/>
      <c r="K2" s="234"/>
    </row>
    <row r="3" spans="2:15">
      <c r="B3" s="236"/>
      <c r="C3" s="236"/>
      <c r="D3" s="236"/>
      <c r="E3" s="236"/>
      <c r="F3" s="234"/>
      <c r="G3" s="234"/>
      <c r="H3" s="234"/>
      <c r="I3" s="234"/>
      <c r="J3" s="234"/>
      <c r="K3" s="234"/>
    </row>
    <row r="4" spans="2:15" ht="18.75">
      <c r="B4" s="356" t="s">
        <v>101</v>
      </c>
      <c r="C4" s="356"/>
      <c r="D4" s="356"/>
      <c r="E4" s="356"/>
      <c r="F4" s="234"/>
      <c r="G4" s="354" t="s">
        <v>100</v>
      </c>
      <c r="H4" s="354"/>
      <c r="I4" s="354"/>
      <c r="J4" s="354"/>
      <c r="K4" s="234"/>
    </row>
    <row r="5" spans="2:15">
      <c r="B5" s="357" t="s">
        <v>102</v>
      </c>
      <c r="C5" s="357"/>
      <c r="D5" s="357"/>
      <c r="E5" s="357"/>
      <c r="F5" s="234"/>
      <c r="G5" s="234"/>
      <c r="H5" s="234"/>
      <c r="I5" s="234"/>
      <c r="J5" s="234"/>
      <c r="K5" s="234"/>
    </row>
    <row r="6" spans="2:15">
      <c r="B6" s="236"/>
      <c r="C6" s="236"/>
      <c r="D6" s="236"/>
      <c r="E6" s="236"/>
      <c r="F6" s="234"/>
      <c r="G6" s="234"/>
      <c r="H6" s="234"/>
      <c r="I6" s="234"/>
      <c r="J6" s="234"/>
      <c r="K6" s="234"/>
    </row>
    <row r="7" spans="2:15" ht="18.75">
      <c r="B7" s="356" t="s">
        <v>103</v>
      </c>
      <c r="C7" s="356"/>
      <c r="D7" s="356"/>
      <c r="E7" s="356"/>
      <c r="F7" s="234"/>
      <c r="G7" s="354" t="s">
        <v>111</v>
      </c>
      <c r="H7" s="354"/>
      <c r="I7" s="354"/>
      <c r="J7" s="354"/>
      <c r="K7" s="234"/>
    </row>
    <row r="8" spans="2:15">
      <c r="B8" s="236"/>
      <c r="C8" s="236"/>
      <c r="D8" s="236"/>
      <c r="E8" s="236"/>
      <c r="F8" s="234"/>
      <c r="G8" s="234"/>
      <c r="H8" s="234"/>
      <c r="I8" s="234"/>
      <c r="J8" s="234"/>
      <c r="K8" s="234"/>
    </row>
    <row r="9" spans="2:15" ht="18.75">
      <c r="B9" s="356" t="s">
        <v>104</v>
      </c>
      <c r="C9" s="356"/>
      <c r="D9" s="356"/>
      <c r="E9" s="356"/>
      <c r="F9" s="234"/>
      <c r="G9" s="354" t="s">
        <v>110</v>
      </c>
      <c r="H9" s="354"/>
      <c r="I9" s="354"/>
      <c r="J9" s="354"/>
    </row>
    <row r="10" spans="2:15">
      <c r="B10" s="236"/>
      <c r="C10" s="236"/>
      <c r="D10" s="236"/>
      <c r="E10" s="236"/>
      <c r="F10" s="234"/>
      <c r="G10" s="234"/>
      <c r="H10" s="234"/>
      <c r="I10" s="234"/>
      <c r="J10" s="234"/>
    </row>
    <row r="11" spans="2:15" ht="18.75">
      <c r="B11" s="356" t="s">
        <v>105</v>
      </c>
      <c r="C11" s="356"/>
      <c r="D11" s="356"/>
      <c r="E11" s="356"/>
      <c r="F11" s="234"/>
      <c r="G11" s="354" t="s">
        <v>109</v>
      </c>
      <c r="H11" s="354"/>
      <c r="I11" s="354"/>
      <c r="J11" s="354"/>
    </row>
    <row r="12" spans="2:15">
      <c r="B12" s="357" t="s">
        <v>106</v>
      </c>
      <c r="C12" s="357"/>
      <c r="D12" s="357"/>
      <c r="E12" s="357"/>
      <c r="F12" s="234"/>
      <c r="G12" s="234"/>
      <c r="H12" s="234"/>
      <c r="I12" s="234"/>
      <c r="J12" s="234"/>
    </row>
    <row r="13" spans="2:15">
      <c r="B13" s="236"/>
      <c r="C13" s="236"/>
      <c r="D13" s="236"/>
      <c r="E13" s="236"/>
      <c r="F13" s="234"/>
      <c r="G13" s="234"/>
      <c r="H13" s="234"/>
      <c r="I13" s="234"/>
      <c r="J13" s="234"/>
    </row>
    <row r="14" spans="2:15" ht="18.75">
      <c r="B14" s="356" t="s">
        <v>108</v>
      </c>
      <c r="C14" s="356"/>
      <c r="D14" s="356"/>
      <c r="E14" s="356"/>
      <c r="F14" s="234"/>
      <c r="G14" s="354" t="s">
        <v>107</v>
      </c>
      <c r="H14" s="354"/>
      <c r="I14" s="354"/>
      <c r="J14" s="354"/>
    </row>
    <row r="15" spans="2:15">
      <c r="E15" s="237"/>
      <c r="F15" s="237"/>
      <c r="G15" s="355"/>
      <c r="H15" s="355"/>
      <c r="I15" s="355"/>
      <c r="J15" s="355"/>
      <c r="K15" s="237"/>
      <c r="L15" s="237"/>
      <c r="M15" s="237"/>
      <c r="N15" s="237"/>
      <c r="O15" s="237"/>
    </row>
    <row r="18" spans="7:11">
      <c r="G18" s="358" t="s">
        <v>112</v>
      </c>
      <c r="H18" s="358"/>
      <c r="I18" s="358"/>
      <c r="J18" s="358"/>
      <c r="K18" s="358"/>
    </row>
    <row r="19" spans="7:11">
      <c r="G19" s="358"/>
      <c r="H19" s="358"/>
      <c r="I19" s="358"/>
      <c r="J19" s="358"/>
      <c r="K19" s="358"/>
    </row>
  </sheetData>
  <sheetProtection password="E92A" sheet="1" objects="1" scenarios="1" selectLockedCells="1"/>
  <mergeCells count="16">
    <mergeCell ref="G18:K19"/>
    <mergeCell ref="G14:J14"/>
    <mergeCell ref="G11:J11"/>
    <mergeCell ref="G9:J9"/>
    <mergeCell ref="B7:E7"/>
    <mergeCell ref="G7:J7"/>
    <mergeCell ref="G4:J4"/>
    <mergeCell ref="G2:J2"/>
    <mergeCell ref="G15:J15"/>
    <mergeCell ref="B14:E14"/>
    <mergeCell ref="B12:E12"/>
    <mergeCell ref="B11:E11"/>
    <mergeCell ref="B9:E9"/>
    <mergeCell ref="B5:E5"/>
    <mergeCell ref="B4:E4"/>
    <mergeCell ref="B2:E2"/>
  </mergeCells>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MENU</vt:lpstr>
      <vt:lpstr>INSTRUCTIONS</vt:lpstr>
      <vt:lpstr>GCALC</vt:lpstr>
      <vt:lpstr>RELEASE NOTES</vt:lpstr>
      <vt:lpstr>CREDITS</vt:lpstr>
    </vt:vector>
  </TitlesOfParts>
  <Company>Geraco</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Georges</dc:creator>
  <cp:lastModifiedBy>Georges</cp:lastModifiedBy>
  <cp:lastPrinted>2011-06-21T06:34:12Z</cp:lastPrinted>
  <dcterms:created xsi:type="dcterms:W3CDTF">2011-06-20T12:15:15Z</dcterms:created>
  <dcterms:modified xsi:type="dcterms:W3CDTF">2011-06-29T19:35:52Z</dcterms:modified>
</cp:coreProperties>
</file>